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65476" windowWidth="15480" windowHeight="11640" tabRatio="629" firstSheet="7" activeTab="7"/>
  </bookViews>
  <sheets>
    <sheet name="отчет 2010" sheetId="1" r:id="rId1"/>
    <sheet name="план 2011" sheetId="2" r:id="rId2"/>
    <sheet name="отчет 2011" sheetId="3" state="hidden" r:id="rId3"/>
    <sheet name="план 2012" sheetId="4" state="hidden" r:id="rId4"/>
    <sheet name="07.12" sheetId="5" state="hidden" r:id="rId5"/>
    <sheet name="план2013" sheetId="6" state="hidden" r:id="rId6"/>
    <sheet name="накоп отчет" sheetId="7" state="hidden" r:id="rId7"/>
    <sheet name="отчет 2012 (10-12)" sheetId="8" r:id="rId8"/>
    <sheet name="отчет (10-12)" sheetId="9" state="hidden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<sst xmlns="http://schemas.openxmlformats.org/spreadsheetml/2006/main" count="661" uniqueCount="195">
  <si>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</si>
  <si>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</si>
  <si>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</si>
  <si>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</si>
  <si>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</si>
  <si>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</si>
  <si>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</si>
  <si>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</si>
  <si>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</si>
  <si>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</si>
  <si>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</si>
  <si>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</si>
  <si>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</si>
  <si>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</si>
  <si>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</si>
  <si>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есть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</si>
  <si>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</si>
  <si>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</si>
  <si>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</si>
  <si>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</si>
  <si>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</si>
  <si>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</si>
  <si>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</si>
  <si>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</si>
  <si>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</si>
  <si>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</si>
  <si>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</si>
  <si>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</si>
  <si>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</si>
  <si>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</si>
  <si>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</si>
  <si>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</si>
  <si>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</si>
  <si>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</si>
  <si>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5.1.</t>
  </si>
  <si>
    <t>5.2.</t>
  </si>
  <si>
    <t>5.3.</t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</si>
  <si>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</si>
  <si>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</si>
  <si>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</si>
  <si>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</si>
  <si>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 xml:space="preserve">Содержание и уборка придомовой территории </t>
  </si>
  <si>
    <t xml:space="preserve"> Долг (+), переплата (-) на 01.01.2009г.</t>
  </si>
  <si>
    <t>Адрес:</t>
  </si>
  <si>
    <t>ООО "ОЖКС № 6"</t>
  </si>
  <si>
    <t>нет</t>
  </si>
  <si>
    <t>Тариф 
на 
1 кв.м.
руб.</t>
  </si>
  <si>
    <t>Стоимость работ
руб.</t>
  </si>
  <si>
    <t>Расчеты с населением по планируемому тарифу</t>
  </si>
  <si>
    <t xml:space="preserve"> - ожидаемй сбор на содержание и текущий ремонт общего имущества жилого дома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</si>
  <si>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</si>
  <si>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</si>
  <si>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</si>
  <si>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ООО  "ОЖКС № 6"</t>
  </si>
  <si>
    <t xml:space="preserve">Капитальный ремонт </t>
  </si>
  <si>
    <t>Директор</t>
  </si>
  <si>
    <t>Л.И. Никашина</t>
  </si>
  <si>
    <t>___________________</t>
  </si>
  <si>
    <t>ул. М.Жукова, 1</t>
  </si>
  <si>
    <t>кв.м</t>
  </si>
  <si>
    <t xml:space="preserve">S нежилых </t>
  </si>
  <si>
    <t xml:space="preserve">помещений, </t>
  </si>
  <si>
    <t>Виды услуг</t>
  </si>
  <si>
    <t>Тариф 
на 
1 кв.м.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</si>
  <si>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</si>
  <si>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</si>
  <si>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</si>
  <si>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</si>
  <si>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</si>
  <si>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</si>
  <si>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</si>
  <si>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</si>
  <si>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</si>
  <si>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</si>
  <si>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</si>
  <si>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</si>
  <si>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</si>
  <si>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>ООО "Резон"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</si>
  <si>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</si>
  <si>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</si>
  <si>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</si>
  <si>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</si>
  <si>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</si>
  <si>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</si>
  <si>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</si>
  <si>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</si>
  <si>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</si>
  <si>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</si>
  <si>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 xml:space="preserve">Директор ООО "ОЖКС № 6"                                               Л.И. Никашина                           </t>
  </si>
  <si>
    <t>Претензий по управлению нет (да)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</si>
  <si>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</si>
  <si>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</si>
  <si>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</si>
  <si>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</si>
  <si>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</si>
  <si>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</si>
  <si>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</si>
  <si>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</si>
  <si>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</si>
  <si>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</si>
  <si>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</si>
  <si>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</si>
  <si>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</si>
  <si>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</si>
  <si>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</si>
  <si>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</si>
  <si>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</si>
  <si>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</si>
  <si>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</si>
  <si>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</si>
  <si>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</si>
  <si>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</si>
  <si>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</si>
  <si>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</si>
  <si>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</si>
  <si>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</si>
  <si>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</si>
  <si>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</si>
  <si>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2012г</t>
  </si>
  <si>
    <t>2013г</t>
  </si>
  <si>
    <t>ОТЧЕТ
за  2010 г. о выполненнии условий  договора управления МКД 
№ /6 от 10.03.2010 г., заключенного между ООО "ОЖКС №6" 
и собственниками многоквартирного дома
по адресу: пр. Ленина/ул. М. Жукова, 133/1</t>
  </si>
  <si>
    <t xml:space="preserve">                     Представитель собственников  - старший по дому            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2010 году.  </t>
  </si>
  <si>
    <t xml:space="preserve">Принято: Старший по дому                                                 </t>
  </si>
  <si>
    <t>Сбор, вывоз  бытового мусора, содержание  контейнерной площадки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</si>
  <si>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>контейнерных площадок</t>
    </r>
  </si>
  <si>
    <t>Смета 
доходов и расходов на  2011 г.
согласно договора управления МКД 
№ /6 от 10.03.2010 г., заключенного между ООО "ОЖКС №6" 
и собственниками многоквартирного дома
по адресу: пр. Ленина/ул. М. Жукова, 133/1</t>
  </si>
  <si>
    <t>Итого</t>
  </si>
  <si>
    <t xml:space="preserve"> Л.И. Никашина           </t>
  </si>
  <si>
    <t>результат
 за год
(+эконом., 
-перерасх.)</t>
  </si>
  <si>
    <t xml:space="preserve">                     Представитель собственников  - старший по дому 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2011 году.  </t>
  </si>
  <si>
    <t xml:space="preserve">Финансовый результат за 2011г. (+ экономия,- перерасход)                                                      </t>
  </si>
  <si>
    <t xml:space="preserve">Принято: Старший по дому                                      ________________________________          </t>
  </si>
  <si>
    <r>
      <t xml:space="preserve">Сбор, вывоз  бытового мусора, содержание  </t>
    </r>
    <r>
      <rPr>
        <sz val="12"/>
        <rFont val="Times New Roman"/>
        <family val="1"/>
      </rPr>
      <t>контейнерных площадок</t>
    </r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</si>
  <si>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</si>
  <si>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>ОТЧЕТ
за  2011 г. о выполненнии условий  договора управления МКД 
№ ______________ от 10.03.2010 г., заключенного между ООО "ОЖКС №6" 
и собственниками многоквартирного дома
по адресу: пр. Ленина/ул. М. Жукова, 133/1</t>
  </si>
  <si>
    <t>Смета 
доходов и расходов на  2012 г.
согласно договора управления МКД 
№ ___________от 10.03.2010 г., заключенного между ООО "ОЖКС №6" 
и собственниками многоквартирного дома
по адресу: пр. Ленина/ул. М. Жукова, 133/1</t>
  </si>
  <si>
    <t>ОТЧЕТ
по  договору управления МКД 
№ _____________ от 10.03.2010 г., заключенного между ООО "ОЖКС №6" 
и собственниками многоквартирного дома
по адресу: пр. Ленина/ул. М. Жукова, 133/1</t>
  </si>
  <si>
    <t>заселенная</t>
  </si>
  <si>
    <t>Расчет стоимости договора и тарифа 1 м2 на 2012г.</t>
  </si>
  <si>
    <t>подметание асфальта -   1 раз/неделю,                
подбор мусора - ежедневно</t>
  </si>
  <si>
    <t>по плану работ</t>
  </si>
  <si>
    <t>* в случае уточнения площадей возможно изменение стоимости</t>
  </si>
  <si>
    <t xml:space="preserve">Директор ООО "Октябрьский ЖКС № 6"                       </t>
  </si>
  <si>
    <t xml:space="preserve">                   Представитель Собственников</t>
  </si>
  <si>
    <t>_________________ Л.И. Никашина</t>
  </si>
  <si>
    <t xml:space="preserve">                    ________________________</t>
  </si>
  <si>
    <t xml:space="preserve">         Приложение №7 к Договору                                                                   на оказание услуг и  выполнение работ                                                  по содержанию, текущему и капитальному ремонту                                              общего имущества МКД № ___ от "____"___________2012г.</t>
  </si>
  <si>
    <t>1.</t>
  </si>
  <si>
    <t>1.1.</t>
  </si>
  <si>
    <t>1.2.</t>
  </si>
  <si>
    <t>1.3.</t>
  </si>
  <si>
    <t>2.</t>
  </si>
  <si>
    <t>3.</t>
  </si>
  <si>
    <r>
      <t>Обслуживание прибора учета тепловой энергии</t>
    </r>
    <r>
      <rPr>
        <b/>
        <sz val="10"/>
        <rFont val="Times New Roman"/>
        <family val="1"/>
      </rPr>
      <t xml:space="preserve">                  (плата за прибор учета с распределением пропорционально площади помещений)</t>
    </r>
  </si>
  <si>
    <t>согласно протокола общего собрания</t>
  </si>
  <si>
    <t>ООО  "ОЖКС №4"</t>
  </si>
  <si>
    <t>Тариф с 1 октября 2012 г. - 15,36 руб., капитальный ремонт - 0 руб.</t>
  </si>
  <si>
    <t>Тариф 
на 1 кв.м. 
октябрь-декабрь 2012г.
руб.</t>
  </si>
  <si>
    <t>Стоимость работ
октябрь-декабрь 2012г. руб.</t>
  </si>
  <si>
    <t>5=гр.4*Sдома*3мес.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</si>
  <si>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</si>
  <si>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</si>
  <si>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</si>
  <si>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</si>
  <si>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 - ожидаемый сбор на содержание и текущий ремонт общего имущества жилого дома</t>
  </si>
  <si>
    <t>Сбор, вывоз  бытового мусора</t>
  </si>
  <si>
    <t>Дворовое освещение</t>
  </si>
  <si>
    <t>Обслуживание  бойлеров</t>
  </si>
  <si>
    <t xml:space="preserve">Управление  </t>
  </si>
  <si>
    <t xml:space="preserve"> Текущий ремонт общего имущества  </t>
  </si>
  <si>
    <t>Всего затрат: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</si>
  <si>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</si>
  <si>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</si>
  <si>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Смета доходов и расходов на  2013 г. 
согласно договора на оказание услуг МКД № 35/6 от 29.09.2012 г., 
заключенного между ООО "ОЖКС № 6"   
и собственниками многоквартирного дома
по адресу:  пр. Ленина,133/ул. М.Жукова, 3</t>
  </si>
  <si>
    <t>пр. Ленина,133/ул. М.Жукова, 3</t>
  </si>
  <si>
    <t>6=(гр.4*Sдома*6мес.)+(гр.5*Sдома*6мес.)</t>
  </si>
  <si>
    <t>ОТЧЕТ
с 01.10.12г. по 31.12.12г. о выполнении условий договора  на оказание услуг МКД 
№ 35/6 от 29.09.2012 г., заключенного между ООО "ОЖКС №6" и собственниками многоквартирного дома
по адресу: пр. Ленина/ул. М. Жукова, 133/1</t>
  </si>
  <si>
    <t xml:space="preserve">                     Представитель собственников  - старший по дому 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с 01.10.12г. по 31.12.12г.</t>
  </si>
  <si>
    <t>кол-во мес по нов. дог-ру</t>
  </si>
  <si>
    <t xml:space="preserve"> - прочие доходы </t>
  </si>
  <si>
    <t>Сбор, вывоз  бытового мусора, содержание контейнерных площадок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</si>
  <si>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</si>
  <si>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Принято:</t>
  </si>
  <si>
    <t>Совет МКД                                           ________________________</t>
  </si>
  <si>
    <t>Претензий по обслуживанию нет (да)</t>
  </si>
  <si>
    <t>Тариф 01.10.12г-31.12.12г.</t>
  </si>
  <si>
    <t>Сумма с 01.10.12г.-31.12.12г., руб.</t>
  </si>
  <si>
    <t>с 01.10.12г.</t>
  </si>
  <si>
    <t xml:space="preserve">Директор ООО "ОЖКС № 6"                                 </t>
  </si>
  <si>
    <t xml:space="preserve">____________ Л.И. Никашина                               </t>
  </si>
  <si>
    <t>Совет МКД</t>
  </si>
  <si>
    <t>_______________/___________/</t>
  </si>
  <si>
    <t>ОТЧЕТ
по  договору оказания услуг МКД 
№ 35/6 от 29.09.2012 г., заключенного между ООО "ОЖКС №6" и собственниками многоквартирного дома
по адресу:  пр. Ленина/ул. М. Жукова, 133/1</t>
  </si>
  <si>
    <t xml:space="preserve">Финансовый результат с 01.10.12 - 31.12.12г. (+ экономия,- перерасход)                                                      </t>
  </si>
  <si>
    <t xml:space="preserve">Директор ООО "ОЖКС № 6"                                            Л.И. Никашина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</si>
</sst>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_ ;[Red]\-0.00\ "/>
    <numFmt numFmtId="171" formatCode="#,##0_ ;[Red]\-#,##0\ "/>
    <numFmt numFmtId="172" formatCode="#,##0.0_ ;[Red]\-#,##0.0\ "/>
    <numFmt numFmtId="173" formatCode="0.0"/>
  </numFmts>
  <fonts count="32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sz val="8"/>
      <color indexed="9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1" fontId="2" fillId="0" borderId="26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center" wrapText="1"/>
    </xf>
    <xf numFmtId="171" fontId="0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3" fontId="2" fillId="0" borderId="30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71" fontId="0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164" fontId="7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24" borderId="0" xfId="0" applyFill="1" applyAlignment="1">
      <alignment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/>
    </xf>
    <xf numFmtId="4" fontId="0" fillId="24" borderId="14" xfId="0" applyNumberFormat="1" applyFill="1" applyBorder="1" applyAlignment="1">
      <alignment/>
    </xf>
    <xf numFmtId="0" fontId="2" fillId="24" borderId="10" xfId="0" applyFont="1" applyFill="1" applyBorder="1" applyAlignment="1">
      <alignment/>
    </xf>
    <xf numFmtId="4" fontId="0" fillId="24" borderId="10" xfId="0" applyNumberFormat="1" applyFill="1" applyBorder="1" applyAlignment="1">
      <alignment/>
    </xf>
    <xf numFmtId="4" fontId="0" fillId="24" borderId="10" xfId="0" applyNumberFormat="1" applyFill="1" applyBorder="1" applyAlignment="1">
      <alignment horizontal="center"/>
    </xf>
    <xf numFmtId="4" fontId="0" fillId="24" borderId="15" xfId="0" applyNumberFormat="1" applyFill="1" applyBorder="1" applyAlignment="1">
      <alignment/>
    </xf>
    <xf numFmtId="0" fontId="0" fillId="24" borderId="16" xfId="0" applyFill="1" applyBorder="1" applyAlignment="1">
      <alignment/>
    </xf>
    <xf numFmtId="0" fontId="2" fillId="24" borderId="17" xfId="0" applyFont="1" applyFill="1" applyBorder="1" applyAlignment="1">
      <alignment/>
    </xf>
    <xf numFmtId="4" fontId="2" fillId="24" borderId="17" xfId="0" applyNumberFormat="1" applyFont="1" applyFill="1" applyBorder="1" applyAlignment="1">
      <alignment/>
    </xf>
    <xf numFmtId="4" fontId="2" fillId="24" borderId="18" xfId="0" applyNumberFormat="1" applyFont="1" applyFill="1" applyBorder="1" applyAlignment="1">
      <alignment/>
    </xf>
    <xf numFmtId="0" fontId="29" fillId="24" borderId="0" xfId="0" applyFont="1" applyFill="1" applyAlignment="1">
      <alignment/>
    </xf>
    <xf numFmtId="2" fontId="29" fillId="24" borderId="0" xfId="0" applyNumberFormat="1" applyFont="1" applyFill="1" applyAlignment="1">
      <alignment/>
    </xf>
    <xf numFmtId="0" fontId="30" fillId="24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2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left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left" wrapText="1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 shrinkToFit="1"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/>
    </xf>
    <xf numFmtId="0" fontId="2" fillId="24" borderId="54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/>
    </xf>
    <xf numFmtId="0" fontId="2" fillId="24" borderId="55" xfId="0" applyFont="1" applyFill="1" applyBorder="1" applyAlignment="1">
      <alignment horizontal="center" vertical="center" wrapText="1"/>
    </xf>
    <xf numFmtId="0" fontId="2" fillId="24" borderId="56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37</xdr:row>
      <xdr:rowOff>9525</xdr:rowOff>
    </xdr:from>
    <xdr:to>
      <xdr:col>8</xdr:col>
      <xdr:colOff>0</xdr:colOff>
      <xdr:row>37</xdr:row>
      <xdr:rowOff>476250</xdr:rowOff>
    </xdr:to>
    <xdr:sp>
      <xdr:nvSpPr>
        <xdr:cNvPr id="1" name="Rectangle 1"/>
        <xdr:cNvSpPr>
          <a:spLocks/>
        </xdr:cNvSpPr>
      </xdr:nvSpPr>
      <xdr:spPr>
        <a:xfrm>
          <a:off x="7410450" y="108299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(с прибора учета                в месяц)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34</xdr:row>
      <xdr:rowOff>9525</xdr:rowOff>
    </xdr:from>
    <xdr:to>
      <xdr:col>8</xdr:col>
      <xdr:colOff>0</xdr:colOff>
      <xdr:row>34</xdr:row>
      <xdr:rowOff>476250</xdr:rowOff>
    </xdr:to>
    <xdr:sp>
      <xdr:nvSpPr>
        <xdr:cNvPr id="1" name="Rectangle 1"/>
        <xdr:cNvSpPr>
          <a:spLocks/>
        </xdr:cNvSpPr>
      </xdr:nvSpPr>
      <xdr:spPr>
        <a:xfrm>
          <a:off x="7115175" y="114966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(с прибора учета                в месяц)</a:t>
          </a:r>
        </a:p>
      </xdr:txBody>
    </xdr:sp>
    <xdr:clientData/>
  </xdr:twoCellAnchor>
  <xdr:twoCellAnchor>
    <xdr:from>
      <xdr:col>8</xdr:col>
      <xdr:colOff>0</xdr:colOff>
      <xdr:row>34</xdr:row>
      <xdr:rowOff>9525</xdr:rowOff>
    </xdr:from>
    <xdr:to>
      <xdr:col>8</xdr:col>
      <xdr:colOff>0</xdr:colOff>
      <xdr:row>34</xdr:row>
      <xdr:rowOff>476250</xdr:rowOff>
    </xdr:to>
    <xdr:sp>
      <xdr:nvSpPr>
        <xdr:cNvPr id="2" name="Rectangle 1"/>
        <xdr:cNvSpPr>
          <a:spLocks/>
        </xdr:cNvSpPr>
      </xdr:nvSpPr>
      <xdr:spPr>
        <a:xfrm>
          <a:off x="7115175" y="114966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(с прибора учета                в месяц)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60" zoomScaleNormal="75" zoomScalePageLayoutView="0" workbookViewId="0" topLeftCell="A13">
      <selection activeCell="B35" sqref="B35:E35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7.125" style="0" customWidth="1"/>
    <col min="6" max="6" width="18.00390625" style="0" hidden="1" customWidth="1"/>
    <col min="7" max="7" width="12.50390625" style="0" hidden="1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126.75" customHeight="1">
      <c r="A1" s="238" t="s">
        <v>120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54" customHeight="1">
      <c r="A2" s="239" t="s">
        <v>121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9" ht="18.75">
      <c r="A3" s="1" t="s">
        <v>43</v>
      </c>
      <c r="B3" s="1" t="s">
        <v>58</v>
      </c>
      <c r="C3" s="2"/>
      <c r="D3" s="2" t="s">
        <v>0</v>
      </c>
      <c r="E3" s="4">
        <v>7753.5</v>
      </c>
      <c r="F3" s="2"/>
      <c r="I3" s="44"/>
    </row>
    <row r="4" spans="2:9" ht="15.75">
      <c r="B4" s="3" t="s">
        <v>1</v>
      </c>
      <c r="C4" s="11">
        <v>10</v>
      </c>
      <c r="D4" s="2" t="s">
        <v>2</v>
      </c>
      <c r="E4" s="4">
        <v>140</v>
      </c>
      <c r="F4" s="2"/>
      <c r="I4" t="s">
        <v>59</v>
      </c>
    </row>
    <row r="5" spans="2:9" ht="15.75">
      <c r="B5" s="3" t="s">
        <v>3</v>
      </c>
      <c r="C5" s="4">
        <v>4</v>
      </c>
      <c r="D5" s="2" t="s">
        <v>4</v>
      </c>
      <c r="E5" s="2" t="s">
        <v>45</v>
      </c>
      <c r="F5" s="2"/>
      <c r="G5" s="2"/>
      <c r="I5" s="2" t="s">
        <v>60</v>
      </c>
    </row>
    <row r="6" spans="2:9" ht="15.75">
      <c r="B6" s="3"/>
      <c r="C6" s="4"/>
      <c r="D6" s="2" t="s">
        <v>5</v>
      </c>
      <c r="E6" s="2" t="s">
        <v>15</v>
      </c>
      <c r="F6" s="2"/>
      <c r="G6" s="2"/>
      <c r="I6" t="s">
        <v>61</v>
      </c>
    </row>
    <row r="7" spans="1:10" ht="39" customHeight="1">
      <c r="A7" s="45" t="s">
        <v>37</v>
      </c>
      <c r="B7" s="240" t="s">
        <v>62</v>
      </c>
      <c r="C7" s="207"/>
      <c r="D7" s="208"/>
      <c r="E7" s="43" t="s">
        <v>6</v>
      </c>
      <c r="F7" s="43" t="s">
        <v>7</v>
      </c>
      <c r="G7" s="47" t="s">
        <v>63</v>
      </c>
      <c r="H7" s="209" t="s">
        <v>64</v>
      </c>
      <c r="I7" s="210"/>
      <c r="J7" s="205"/>
    </row>
    <row r="8" spans="1:10" ht="15.75">
      <c r="A8" s="9">
        <v>1</v>
      </c>
      <c r="B8" s="235"/>
      <c r="C8" s="236"/>
      <c r="D8" s="236"/>
      <c r="E8" s="236"/>
      <c r="F8" s="237"/>
      <c r="G8" s="48"/>
      <c r="H8" s="49" t="s">
        <v>65</v>
      </c>
      <c r="I8" s="50" t="s">
        <v>66</v>
      </c>
      <c r="J8" s="50" t="s">
        <v>67</v>
      </c>
    </row>
    <row r="9" spans="1:10" ht="15.75">
      <c r="A9" s="9"/>
      <c r="B9" s="235" t="s">
        <v>68</v>
      </c>
      <c r="C9" s="236"/>
      <c r="D9" s="236"/>
      <c r="E9" s="236"/>
      <c r="F9" s="237"/>
      <c r="G9" s="22"/>
      <c r="H9" s="22"/>
      <c r="I9" s="51"/>
      <c r="J9" s="50"/>
    </row>
    <row r="10" spans="1:10" ht="15.75" customHeight="1">
      <c r="A10" s="52"/>
      <c r="B10" s="232" t="s">
        <v>69</v>
      </c>
      <c r="C10" s="232"/>
      <c r="D10" s="232"/>
      <c r="E10" s="232"/>
      <c r="F10" s="232"/>
      <c r="G10" s="53"/>
      <c r="H10" s="54">
        <v>80630.74</v>
      </c>
      <c r="I10" s="19"/>
      <c r="J10" s="55">
        <f>H10+I10</f>
        <v>80630.74</v>
      </c>
    </row>
    <row r="11" spans="1:10" ht="15.75" customHeight="1">
      <c r="A11" s="52"/>
      <c r="B11" s="232" t="s">
        <v>70</v>
      </c>
      <c r="C11" s="232"/>
      <c r="D11" s="232"/>
      <c r="E11" s="232"/>
      <c r="F11" s="232"/>
      <c r="G11" s="53"/>
      <c r="H11" s="56">
        <v>112.61</v>
      </c>
      <c r="I11" s="19"/>
      <c r="J11" s="55">
        <f>H11+I11</f>
        <v>112.61</v>
      </c>
    </row>
    <row r="12" spans="1:10" ht="15.75" customHeight="1">
      <c r="A12" s="9"/>
      <c r="B12" s="232" t="s">
        <v>71</v>
      </c>
      <c r="C12" s="232"/>
      <c r="D12" s="232"/>
      <c r="E12" s="232"/>
      <c r="F12" s="232"/>
      <c r="G12" s="53"/>
      <c r="H12" s="54"/>
      <c r="I12" s="19">
        <v>0</v>
      </c>
      <c r="J12" s="55">
        <f>H12+I12</f>
        <v>0</v>
      </c>
    </row>
    <row r="13" spans="1:10" ht="15.75" customHeight="1">
      <c r="A13" s="9"/>
      <c r="B13" s="232" t="s">
        <v>72</v>
      </c>
      <c r="C13" s="232"/>
      <c r="D13" s="232"/>
      <c r="E13" s="232"/>
      <c r="F13" s="232"/>
      <c r="G13" s="53"/>
      <c r="H13" s="54"/>
      <c r="I13" s="57">
        <v>0</v>
      </c>
      <c r="J13" s="55">
        <f>H13+I13</f>
        <v>0</v>
      </c>
    </row>
    <row r="14" spans="1:10" ht="15.75" customHeight="1">
      <c r="A14" s="9"/>
      <c r="B14" s="233" t="s">
        <v>73</v>
      </c>
      <c r="C14" s="233"/>
      <c r="D14" s="233"/>
      <c r="E14" s="233"/>
      <c r="F14" s="233"/>
      <c r="G14" s="53"/>
      <c r="H14" s="58">
        <f>SUM(H10:H12)</f>
        <v>80743.35</v>
      </c>
      <c r="I14" s="59">
        <f>SUM(I10:I12)</f>
        <v>0</v>
      </c>
      <c r="J14" s="58">
        <f>SUM(J10:J12)</f>
        <v>80743.35</v>
      </c>
    </row>
    <row r="15" spans="1:10" ht="18.75" customHeight="1">
      <c r="A15" s="9">
        <v>2</v>
      </c>
      <c r="B15" s="234" t="s">
        <v>38</v>
      </c>
      <c r="C15" s="234"/>
      <c r="D15" s="234"/>
      <c r="E15" s="234"/>
      <c r="F15" s="234"/>
      <c r="G15" s="53"/>
      <c r="H15" s="54"/>
      <c r="I15" s="19"/>
      <c r="J15" s="60"/>
    </row>
    <row r="16" spans="1:10" ht="15.75">
      <c r="A16" s="9" t="s">
        <v>74</v>
      </c>
      <c r="B16" s="7" t="s">
        <v>39</v>
      </c>
      <c r="C16" s="7"/>
      <c r="D16" s="7"/>
      <c r="E16" s="7"/>
      <c r="F16" s="5"/>
      <c r="G16" s="49"/>
      <c r="H16" s="49"/>
      <c r="I16" s="46"/>
      <c r="J16" s="50"/>
    </row>
    <row r="17" spans="1:10" ht="32.25" customHeight="1">
      <c r="A17" s="61"/>
      <c r="B17" s="231" t="s">
        <v>123</v>
      </c>
      <c r="C17" s="231"/>
      <c r="D17" s="231"/>
      <c r="E17" s="62" t="s">
        <v>29</v>
      </c>
      <c r="F17" s="24" t="s">
        <v>21</v>
      </c>
      <c r="G17" s="25">
        <v>1.06</v>
      </c>
      <c r="H17" s="63">
        <f>ROUND(G17*$E$3*12,2)</f>
        <v>98624.52</v>
      </c>
      <c r="I17" s="64">
        <f>$I$12*0.08</f>
        <v>0</v>
      </c>
      <c r="J17" s="65">
        <f>SUM(H17:I17)</f>
        <v>98624.52</v>
      </c>
    </row>
    <row r="18" spans="1:10" ht="36" customHeight="1">
      <c r="A18" s="9"/>
      <c r="B18" s="229" t="s">
        <v>16</v>
      </c>
      <c r="C18" s="229"/>
      <c r="D18" s="229"/>
      <c r="E18" s="62" t="s">
        <v>29</v>
      </c>
      <c r="F18" s="24" t="s">
        <v>17</v>
      </c>
      <c r="G18" s="25">
        <v>0.26</v>
      </c>
      <c r="H18" s="63">
        <f>ROUND(G18*$E$3*12,2)</f>
        <v>24190.92</v>
      </c>
      <c r="I18" s="64">
        <f>$I$12*0.02</f>
        <v>0</v>
      </c>
      <c r="J18" s="65">
        <f>SUM(H18:I18)</f>
        <v>24190.92</v>
      </c>
    </row>
    <row r="19" spans="1:10" ht="20.25" customHeight="1">
      <c r="A19" s="9"/>
      <c r="B19" s="228" t="s">
        <v>20</v>
      </c>
      <c r="C19" s="228"/>
      <c r="D19" s="228"/>
      <c r="E19" s="66" t="s">
        <v>75</v>
      </c>
      <c r="F19" s="27" t="s">
        <v>18</v>
      </c>
      <c r="G19" s="25">
        <v>0.9</v>
      </c>
      <c r="H19" s="63">
        <f>J19-I19</f>
        <v>47402.8</v>
      </c>
      <c r="I19" s="64">
        <f>$I$12*0.07</f>
        <v>0</v>
      </c>
      <c r="J19" s="67">
        <v>47402.8</v>
      </c>
    </row>
    <row r="20" spans="1:10" ht="20.25" customHeight="1">
      <c r="A20" s="61"/>
      <c r="B20" s="231" t="s">
        <v>28</v>
      </c>
      <c r="C20" s="231"/>
      <c r="D20" s="231"/>
      <c r="E20" s="68" t="s">
        <v>9</v>
      </c>
      <c r="F20" s="28" t="s">
        <v>10</v>
      </c>
      <c r="G20" s="25">
        <v>0.46</v>
      </c>
      <c r="H20" s="63">
        <f>ROUND(G20*$E$3*12,2)</f>
        <v>42799.32</v>
      </c>
      <c r="I20" s="64">
        <f>$I$12*0.04</f>
        <v>0</v>
      </c>
      <c r="J20" s="65">
        <f>SUM(H20:I20)</f>
        <v>42799.32</v>
      </c>
    </row>
    <row r="21" spans="1:10" ht="57.75" customHeight="1">
      <c r="A21" s="9"/>
      <c r="B21" s="228" t="s">
        <v>24</v>
      </c>
      <c r="C21" s="228"/>
      <c r="D21" s="228"/>
      <c r="E21" s="66" t="s">
        <v>76</v>
      </c>
      <c r="F21" s="27" t="s">
        <v>22</v>
      </c>
      <c r="G21" s="25">
        <v>0.11</v>
      </c>
      <c r="H21" s="63">
        <f>J21-I21</f>
        <v>0</v>
      </c>
      <c r="I21" s="64">
        <f>$I$12*0.01</f>
        <v>0</v>
      </c>
      <c r="J21" s="67">
        <v>0</v>
      </c>
    </row>
    <row r="22" spans="1:10" ht="20.25" customHeight="1">
      <c r="A22" s="61"/>
      <c r="B22" s="228" t="s">
        <v>11</v>
      </c>
      <c r="C22" s="228"/>
      <c r="D22" s="228"/>
      <c r="E22" s="66" t="s">
        <v>9</v>
      </c>
      <c r="F22" s="27" t="s">
        <v>12</v>
      </c>
      <c r="G22" s="25">
        <v>1.93</v>
      </c>
      <c r="H22" s="63">
        <f>J22-I22</f>
        <v>167020.39</v>
      </c>
      <c r="I22" s="64">
        <f>$I$12*0.15</f>
        <v>0</v>
      </c>
      <c r="J22" s="67">
        <v>167020.39</v>
      </c>
    </row>
    <row r="23" spans="1:10" ht="31.5" customHeight="1">
      <c r="A23" s="61"/>
      <c r="B23" s="228" t="s">
        <v>23</v>
      </c>
      <c r="C23" s="224"/>
      <c r="D23" s="224"/>
      <c r="E23" s="69" t="s">
        <v>13</v>
      </c>
      <c r="F23" s="21" t="s">
        <v>77</v>
      </c>
      <c r="G23" s="25">
        <v>0.04</v>
      </c>
      <c r="H23" s="63">
        <f>J23-I23</f>
        <v>0</v>
      </c>
      <c r="I23" s="64">
        <f>$I$12*0.003</f>
        <v>0</v>
      </c>
      <c r="J23" s="67">
        <v>0</v>
      </c>
    </row>
    <row r="24" spans="1:10" ht="28.5" customHeight="1">
      <c r="A24" s="9"/>
      <c r="B24" s="228" t="s">
        <v>41</v>
      </c>
      <c r="C24" s="228"/>
      <c r="D24" s="228"/>
      <c r="E24" s="62" t="s">
        <v>31</v>
      </c>
      <c r="F24" s="70" t="s">
        <v>44</v>
      </c>
      <c r="G24" s="25">
        <v>1.87</v>
      </c>
      <c r="H24" s="63">
        <f aca="true" t="shared" si="0" ref="H24:H29">ROUND(G24*$E$3*12,2)</f>
        <v>173988.54</v>
      </c>
      <c r="I24" s="64">
        <f>$I$12*0.19</f>
        <v>0</v>
      </c>
      <c r="J24" s="65">
        <f aca="true" t="shared" si="1" ref="J24:J29">SUM(H24:I24)</f>
        <v>173988.54</v>
      </c>
    </row>
    <row r="25" spans="1:10" ht="26.25" customHeight="1">
      <c r="A25" s="9"/>
      <c r="B25" s="229" t="s">
        <v>14</v>
      </c>
      <c r="C25" s="229"/>
      <c r="D25" s="229"/>
      <c r="E25" s="62" t="s">
        <v>31</v>
      </c>
      <c r="F25" s="70" t="s">
        <v>44</v>
      </c>
      <c r="G25" s="25">
        <v>0.46</v>
      </c>
      <c r="H25" s="71">
        <f t="shared" si="0"/>
        <v>42799.32</v>
      </c>
      <c r="I25" s="64">
        <v>0</v>
      </c>
      <c r="J25" s="65">
        <f t="shared" si="1"/>
        <v>42799.32</v>
      </c>
    </row>
    <row r="26" spans="1:10" ht="30" customHeight="1">
      <c r="A26" s="9"/>
      <c r="B26" s="230" t="s">
        <v>32</v>
      </c>
      <c r="C26" s="212"/>
      <c r="D26" s="213"/>
      <c r="E26" s="62" t="s">
        <v>31</v>
      </c>
      <c r="F26" s="70" t="s">
        <v>44</v>
      </c>
      <c r="G26" s="72">
        <f>2.99-G27-G28</f>
        <v>2.74</v>
      </c>
      <c r="H26" s="71">
        <f t="shared" si="0"/>
        <v>254935.08</v>
      </c>
      <c r="I26" s="73">
        <f>$I$12*(0.18+0.02)</f>
        <v>0</v>
      </c>
      <c r="J26" s="65">
        <f t="shared" si="1"/>
        <v>254935.08</v>
      </c>
    </row>
    <row r="27" spans="1:10" ht="26.25" customHeight="1">
      <c r="A27" s="61"/>
      <c r="B27" s="228" t="s">
        <v>78</v>
      </c>
      <c r="C27" s="228"/>
      <c r="D27" s="228"/>
      <c r="E27" s="62" t="s">
        <v>31</v>
      </c>
      <c r="F27" s="70" t="s">
        <v>44</v>
      </c>
      <c r="G27" s="72">
        <v>0.25</v>
      </c>
      <c r="H27" s="71">
        <f t="shared" si="0"/>
        <v>23260.5</v>
      </c>
      <c r="I27" s="73">
        <f>$I$12*0.02</f>
        <v>0</v>
      </c>
      <c r="J27" s="65">
        <f t="shared" si="1"/>
        <v>23260.5</v>
      </c>
    </row>
    <row r="28" spans="1:10" ht="28.5" customHeight="1">
      <c r="A28" s="9"/>
      <c r="B28" s="228" t="s">
        <v>79</v>
      </c>
      <c r="C28" s="228"/>
      <c r="D28" s="228"/>
      <c r="E28" s="66" t="s">
        <v>9</v>
      </c>
      <c r="F28" s="70" t="s">
        <v>44</v>
      </c>
      <c r="G28" s="72">
        <v>0</v>
      </c>
      <c r="H28" s="71">
        <f t="shared" si="0"/>
        <v>0</v>
      </c>
      <c r="I28" s="73">
        <v>0</v>
      </c>
      <c r="J28" s="65">
        <f t="shared" si="1"/>
        <v>0</v>
      </c>
    </row>
    <row r="29" spans="1:10" ht="27" customHeight="1">
      <c r="A29" s="9"/>
      <c r="B29" s="224" t="s">
        <v>19</v>
      </c>
      <c r="C29" s="224"/>
      <c r="D29" s="224"/>
      <c r="E29" s="66" t="s">
        <v>9</v>
      </c>
      <c r="F29" s="70" t="s">
        <v>44</v>
      </c>
      <c r="G29" s="21">
        <v>1.26</v>
      </c>
      <c r="H29" s="63">
        <f t="shared" si="0"/>
        <v>117232.92</v>
      </c>
      <c r="I29" s="64">
        <f>$I$12*0.1</f>
        <v>0</v>
      </c>
      <c r="J29" s="65">
        <f t="shared" si="1"/>
        <v>117232.92</v>
      </c>
    </row>
    <row r="30" spans="1:10" ht="21.75" customHeight="1">
      <c r="A30" s="9"/>
      <c r="B30" s="225" t="s">
        <v>80</v>
      </c>
      <c r="C30" s="226"/>
      <c r="D30" s="227"/>
      <c r="E30" s="66" t="s">
        <v>9</v>
      </c>
      <c r="F30" s="70"/>
      <c r="G30" s="21"/>
      <c r="H30" s="71"/>
      <c r="I30" s="57"/>
      <c r="J30" s="74"/>
    </row>
    <row r="31" spans="1:10" ht="27" customHeight="1">
      <c r="A31" s="9"/>
      <c r="B31" s="225" t="s">
        <v>81</v>
      </c>
      <c r="C31" s="226"/>
      <c r="D31" s="227"/>
      <c r="E31" s="62" t="s">
        <v>31</v>
      </c>
      <c r="F31" s="70"/>
      <c r="G31" s="21"/>
      <c r="H31" s="71"/>
      <c r="I31" s="57"/>
      <c r="J31" s="74"/>
    </row>
    <row r="32" spans="1:10" ht="15.75">
      <c r="A32" s="9"/>
      <c r="B32" s="211"/>
      <c r="C32" s="212"/>
      <c r="D32" s="213"/>
      <c r="E32" s="66"/>
      <c r="F32" s="70"/>
      <c r="G32" s="21"/>
      <c r="H32" s="71"/>
      <c r="I32" s="57"/>
      <c r="J32" s="74"/>
    </row>
    <row r="33" spans="1:10" ht="15.75">
      <c r="A33" s="9"/>
      <c r="B33" s="211"/>
      <c r="C33" s="212"/>
      <c r="D33" s="213"/>
      <c r="E33" s="66"/>
      <c r="F33" s="70"/>
      <c r="G33" s="21"/>
      <c r="H33" s="71"/>
      <c r="I33" s="57"/>
      <c r="J33" s="74"/>
    </row>
    <row r="34" spans="1:10" ht="15.75">
      <c r="A34" s="9"/>
      <c r="B34" s="214" t="s">
        <v>27</v>
      </c>
      <c r="C34" s="214"/>
      <c r="D34" s="214"/>
      <c r="E34" s="6"/>
      <c r="F34" s="70"/>
      <c r="G34" s="8">
        <f>SUM(G17:G29)</f>
        <v>11.34</v>
      </c>
      <c r="H34" s="75">
        <f>SUM(H17:H33)</f>
        <v>992254.3099999999</v>
      </c>
      <c r="I34" s="76">
        <f>SUM(I17:I33)</f>
        <v>0</v>
      </c>
      <c r="J34" s="75">
        <f>SUM(J17:J33)</f>
        <v>992254.3099999999</v>
      </c>
    </row>
    <row r="35" spans="1:10" ht="15" customHeight="1">
      <c r="A35" s="9" t="s">
        <v>82</v>
      </c>
      <c r="B35" s="215" t="s">
        <v>83</v>
      </c>
      <c r="C35" s="216"/>
      <c r="D35" s="216"/>
      <c r="E35" s="217"/>
      <c r="F35" s="70" t="s">
        <v>44</v>
      </c>
      <c r="G35" s="10">
        <f>H35/E3/12</f>
        <v>0</v>
      </c>
      <c r="H35" s="77">
        <v>0</v>
      </c>
      <c r="I35" s="78">
        <v>0</v>
      </c>
      <c r="J35" s="58">
        <f>SUM(H35:I35)</f>
        <v>0</v>
      </c>
    </row>
    <row r="36" spans="1:10" ht="14.25" customHeight="1">
      <c r="A36" s="79"/>
      <c r="B36" s="219" t="s">
        <v>40</v>
      </c>
      <c r="C36" s="219"/>
      <c r="D36" s="219"/>
      <c r="E36" s="219"/>
      <c r="F36" s="219"/>
      <c r="G36" s="5">
        <f>SUM(G34:G35)</f>
        <v>11.34</v>
      </c>
      <c r="H36" s="80">
        <f>SUM(H34:H35)</f>
        <v>992254.3099999999</v>
      </c>
      <c r="I36" s="81">
        <f>SUM(I34:I35)</f>
        <v>0</v>
      </c>
      <c r="J36" s="80">
        <f>SUM(J34:J35)</f>
        <v>992254.3099999999</v>
      </c>
    </row>
    <row r="37" spans="1:10" ht="15.75">
      <c r="A37" s="9" t="s">
        <v>84</v>
      </c>
      <c r="B37" s="220" t="s">
        <v>85</v>
      </c>
      <c r="C37" s="220"/>
      <c r="D37" s="220"/>
      <c r="E37" s="220"/>
      <c r="F37" s="220"/>
      <c r="G37" s="82"/>
      <c r="H37" s="83">
        <v>0</v>
      </c>
      <c r="I37" s="83">
        <v>0</v>
      </c>
      <c r="J37" s="84">
        <f>SUM(H37:I37)</f>
        <v>0</v>
      </c>
    </row>
    <row r="38" spans="1:10" ht="15" customHeight="1">
      <c r="A38" s="79"/>
      <c r="B38" s="219" t="s">
        <v>86</v>
      </c>
      <c r="C38" s="219"/>
      <c r="D38" s="219"/>
      <c r="E38" s="219"/>
      <c r="F38" s="219"/>
      <c r="G38" s="5">
        <f>SUM(G36:G37)</f>
        <v>11.34</v>
      </c>
      <c r="H38" s="80">
        <f>SUM(H36:H37)</f>
        <v>992254.3099999999</v>
      </c>
      <c r="I38" s="81">
        <f>SUM(I36:I37)</f>
        <v>0</v>
      </c>
      <c r="J38" s="80">
        <f>SUM(J36:J37)</f>
        <v>992254.3099999999</v>
      </c>
    </row>
    <row r="39" spans="1:10" ht="15.75" customHeight="1">
      <c r="A39" s="9">
        <v>3</v>
      </c>
      <c r="B39" s="221" t="s">
        <v>87</v>
      </c>
      <c r="C39" s="222"/>
      <c r="D39" s="222"/>
      <c r="E39" s="222"/>
      <c r="F39" s="222"/>
      <c r="G39" s="223"/>
      <c r="H39" s="85">
        <f>H14-H38</f>
        <v>-911510.96</v>
      </c>
      <c r="I39" s="63">
        <f>I14-I38</f>
        <v>0</v>
      </c>
      <c r="J39" s="86">
        <f>J14-J38</f>
        <v>-911510.96</v>
      </c>
    </row>
    <row r="40" spans="2:6" ht="15.75">
      <c r="B40" s="12"/>
      <c r="F40" s="12"/>
    </row>
    <row r="41" spans="2:6" ht="15.75">
      <c r="B41" s="87" t="s">
        <v>88</v>
      </c>
      <c r="C41" s="87"/>
      <c r="D41" s="87"/>
      <c r="E41" s="12"/>
      <c r="F41" s="12"/>
    </row>
    <row r="42" spans="2:4" ht="15.75">
      <c r="B42" s="87"/>
      <c r="C42" s="87"/>
      <c r="D42" s="87"/>
    </row>
    <row r="43" spans="2:4" ht="15.75">
      <c r="B43" s="88" t="s">
        <v>122</v>
      </c>
      <c r="C43" s="88"/>
      <c r="D43" s="89"/>
    </row>
    <row r="44" spans="2:4" ht="15.75">
      <c r="B44" s="218" t="s">
        <v>89</v>
      </c>
      <c r="C44" s="218"/>
      <c r="D44" s="218"/>
    </row>
  </sheetData>
  <sheetProtection/>
  <mergeCells count="36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7:D17"/>
    <mergeCell ref="B18:D18"/>
    <mergeCell ref="B14:F14"/>
    <mergeCell ref="B15:F15"/>
    <mergeCell ref="B19:D19"/>
    <mergeCell ref="B28:D28"/>
    <mergeCell ref="B20:D20"/>
    <mergeCell ref="B21:D21"/>
    <mergeCell ref="B22:D22"/>
    <mergeCell ref="B23:D23"/>
    <mergeCell ref="B29:D29"/>
    <mergeCell ref="B30:D30"/>
    <mergeCell ref="B31:D31"/>
    <mergeCell ref="B24:D24"/>
    <mergeCell ref="B25:D25"/>
    <mergeCell ref="B26:D26"/>
    <mergeCell ref="B27:D27"/>
    <mergeCell ref="B44:D44"/>
    <mergeCell ref="B36:F36"/>
    <mergeCell ref="B37:F37"/>
    <mergeCell ref="B38:F38"/>
    <mergeCell ref="B39:G39"/>
    <mergeCell ref="B32:D32"/>
    <mergeCell ref="B33:D33"/>
    <mergeCell ref="B34:D34"/>
    <mergeCell ref="B35:E35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60" zoomScalePageLayoutView="0" workbookViewId="0" topLeftCell="A16">
      <selection activeCell="G28" sqref="G28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75390625" style="0" customWidth="1"/>
    <col min="6" max="6" width="18.00390625" style="0" hidden="1" customWidth="1"/>
    <col min="7" max="7" width="7.00390625" style="0" bestFit="1" customWidth="1"/>
    <col min="8" max="8" width="12.625" style="0" customWidth="1"/>
    <col min="9" max="9" width="9.875" style="0" bestFit="1" customWidth="1"/>
  </cols>
  <sheetData>
    <row r="1" spans="1:8" ht="121.5" customHeight="1">
      <c r="A1" s="238" t="s">
        <v>125</v>
      </c>
      <c r="B1" s="238"/>
      <c r="C1" s="238"/>
      <c r="D1" s="238"/>
      <c r="E1" s="238"/>
      <c r="F1" s="238"/>
      <c r="G1" s="238"/>
      <c r="H1" s="238"/>
    </row>
    <row r="2" spans="1:6" ht="18.75">
      <c r="A2" s="1" t="s">
        <v>43</v>
      </c>
      <c r="B2" s="1" t="s">
        <v>58</v>
      </c>
      <c r="C2" s="2"/>
      <c r="D2" s="2" t="s">
        <v>0</v>
      </c>
      <c r="E2" s="4">
        <v>7753.5</v>
      </c>
      <c r="F2" s="2"/>
    </row>
    <row r="3" spans="2:6" ht="15.75">
      <c r="B3" s="3" t="s">
        <v>1</v>
      </c>
      <c r="C3" s="11">
        <v>10</v>
      </c>
      <c r="D3" s="2" t="s">
        <v>2</v>
      </c>
      <c r="E3" s="4">
        <v>140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45</v>
      </c>
      <c r="F4" s="2"/>
      <c r="G4" s="2"/>
    </row>
    <row r="5" spans="2:7" ht="16.5" thickBot="1">
      <c r="B5" s="3"/>
      <c r="C5" s="4"/>
      <c r="D5" s="2" t="s">
        <v>5</v>
      </c>
      <c r="E5" s="2" t="s">
        <v>15</v>
      </c>
      <c r="F5" s="2"/>
      <c r="G5" s="2"/>
    </row>
    <row r="6" spans="1:8" ht="42" customHeight="1">
      <c r="A6" s="14" t="s">
        <v>37</v>
      </c>
      <c r="B6" s="243"/>
      <c r="C6" s="243"/>
      <c r="D6" s="243"/>
      <c r="E6" s="15" t="s">
        <v>6</v>
      </c>
      <c r="F6" s="15" t="s">
        <v>7</v>
      </c>
      <c r="G6" s="16" t="s">
        <v>46</v>
      </c>
      <c r="H6" s="17" t="s">
        <v>47</v>
      </c>
    </row>
    <row r="7" spans="1:8" ht="15.75" customHeight="1">
      <c r="A7" s="18"/>
      <c r="B7" s="244" t="s">
        <v>48</v>
      </c>
      <c r="C7" s="244"/>
      <c r="D7" s="244"/>
      <c r="E7" s="244"/>
      <c r="F7" s="244"/>
      <c r="G7" s="19"/>
      <c r="H7" s="20"/>
    </row>
    <row r="8" spans="1:8" ht="15.75" customHeight="1">
      <c r="A8" s="18"/>
      <c r="B8" s="233" t="s">
        <v>42</v>
      </c>
      <c r="C8" s="233"/>
      <c r="D8" s="233"/>
      <c r="E8" s="233"/>
      <c r="F8" s="233"/>
      <c r="G8" s="21"/>
      <c r="H8" s="20"/>
    </row>
    <row r="9" spans="1:8" ht="15.75" customHeight="1">
      <c r="A9" s="18">
        <v>1</v>
      </c>
      <c r="B9" s="233" t="s">
        <v>49</v>
      </c>
      <c r="C9" s="233"/>
      <c r="D9" s="233"/>
      <c r="E9" s="233"/>
      <c r="F9" s="233"/>
      <c r="G9" s="10">
        <f>G28</f>
        <v>14.488299999999997</v>
      </c>
      <c r="H9" s="92">
        <f>ROUND(E2*G9*12,2)</f>
        <v>1348020.41</v>
      </c>
    </row>
    <row r="10" spans="1:8" ht="15.75">
      <c r="A10" s="18"/>
      <c r="B10" s="201" t="s">
        <v>50</v>
      </c>
      <c r="C10" s="201"/>
      <c r="D10" s="201"/>
      <c r="E10" s="201"/>
      <c r="F10" s="201"/>
      <c r="G10" s="9">
        <v>0.76</v>
      </c>
      <c r="H10" s="20">
        <f>ROUND($E$2*G10*12,0)</f>
        <v>70712</v>
      </c>
    </row>
    <row r="11" spans="1:8" ht="18.75">
      <c r="A11" s="18">
        <v>5</v>
      </c>
      <c r="B11" s="234" t="s">
        <v>38</v>
      </c>
      <c r="C11" s="234"/>
      <c r="D11" s="234"/>
      <c r="E11" s="234"/>
      <c r="F11" s="234"/>
      <c r="G11" s="21"/>
      <c r="H11" s="20"/>
    </row>
    <row r="12" spans="1:8" ht="15.75" customHeight="1">
      <c r="A12" s="18" t="s">
        <v>34</v>
      </c>
      <c r="B12" s="7" t="s">
        <v>39</v>
      </c>
      <c r="C12" s="7"/>
      <c r="D12" s="7"/>
      <c r="E12" s="7"/>
      <c r="F12" s="5"/>
      <c r="G12" s="22"/>
      <c r="H12" s="20"/>
    </row>
    <row r="13" spans="1:8" ht="34.5" customHeight="1">
      <c r="A13" s="23"/>
      <c r="B13" s="242" t="s">
        <v>124</v>
      </c>
      <c r="C13" s="242"/>
      <c r="D13" s="242"/>
      <c r="E13" s="24" t="s">
        <v>29</v>
      </c>
      <c r="F13" s="24" t="s">
        <v>21</v>
      </c>
      <c r="G13" s="25">
        <v>1.2189999999999999</v>
      </c>
      <c r="H13" s="26">
        <f aca="true" t="shared" si="0" ref="H13:H28">ROUND($E$2*G13*12,0)</f>
        <v>113418</v>
      </c>
    </row>
    <row r="14" spans="1:8" ht="18.75" customHeight="1">
      <c r="A14" s="23"/>
      <c r="B14" s="242" t="s">
        <v>16</v>
      </c>
      <c r="C14" s="242"/>
      <c r="D14" s="242"/>
      <c r="E14" s="24" t="s">
        <v>29</v>
      </c>
      <c r="F14" s="24" t="s">
        <v>17</v>
      </c>
      <c r="G14" s="25">
        <v>0.28080000000000005</v>
      </c>
      <c r="H14" s="26">
        <f t="shared" si="0"/>
        <v>26126</v>
      </c>
    </row>
    <row r="15" spans="1:8" ht="15.75">
      <c r="A15" s="23"/>
      <c r="B15" s="199" t="s">
        <v>20</v>
      </c>
      <c r="C15" s="199"/>
      <c r="D15" s="199"/>
      <c r="E15" s="27" t="s">
        <v>8</v>
      </c>
      <c r="F15" s="27" t="s">
        <v>18</v>
      </c>
      <c r="G15" s="25">
        <v>0.99</v>
      </c>
      <c r="H15" s="26">
        <f t="shared" si="0"/>
        <v>92112</v>
      </c>
    </row>
    <row r="16" spans="1:8" ht="31.5" customHeight="1">
      <c r="A16" s="23"/>
      <c r="B16" s="241" t="s">
        <v>28</v>
      </c>
      <c r="C16" s="241"/>
      <c r="D16" s="241"/>
      <c r="E16" s="28" t="s">
        <v>9</v>
      </c>
      <c r="F16" s="28" t="s">
        <v>10</v>
      </c>
      <c r="G16" s="25">
        <v>0.51</v>
      </c>
      <c r="H16" s="26">
        <f t="shared" si="0"/>
        <v>47451</v>
      </c>
    </row>
    <row r="17" spans="1:8" ht="15.75" customHeight="1">
      <c r="A17" s="23"/>
      <c r="B17" s="199" t="s">
        <v>24</v>
      </c>
      <c r="C17" s="199"/>
      <c r="D17" s="199"/>
      <c r="E17" s="27" t="s">
        <v>30</v>
      </c>
      <c r="F17" s="27" t="s">
        <v>22</v>
      </c>
      <c r="G17" s="25">
        <v>0.12100000000000001</v>
      </c>
      <c r="H17" s="26">
        <f t="shared" si="0"/>
        <v>11258</v>
      </c>
    </row>
    <row r="18" spans="1:8" ht="15.75" customHeight="1">
      <c r="A18" s="23"/>
      <c r="B18" s="199" t="s">
        <v>11</v>
      </c>
      <c r="C18" s="199"/>
      <c r="D18" s="199"/>
      <c r="E18" s="27" t="s">
        <v>9</v>
      </c>
      <c r="F18" s="27" t="s">
        <v>12</v>
      </c>
      <c r="G18" s="25">
        <v>2.2194999999999996</v>
      </c>
      <c r="H18" s="26">
        <f t="shared" si="0"/>
        <v>206507</v>
      </c>
    </row>
    <row r="19" spans="1:8" ht="33" customHeight="1">
      <c r="A19" s="23"/>
      <c r="B19" s="199" t="s">
        <v>23</v>
      </c>
      <c r="C19" s="200"/>
      <c r="D19" s="200"/>
      <c r="E19" s="21" t="s">
        <v>13</v>
      </c>
      <c r="F19" s="21" t="s">
        <v>51</v>
      </c>
      <c r="G19" s="25">
        <v>0.05</v>
      </c>
      <c r="H19" s="26">
        <f t="shared" si="0"/>
        <v>4652</v>
      </c>
    </row>
    <row r="20" spans="1:8" ht="31.5">
      <c r="A20" s="23"/>
      <c r="B20" s="199" t="s">
        <v>41</v>
      </c>
      <c r="C20" s="199"/>
      <c r="D20" s="199"/>
      <c r="E20" s="24" t="s">
        <v>31</v>
      </c>
      <c r="F20" s="27" t="s">
        <v>44</v>
      </c>
      <c r="G20" s="25">
        <v>2.15</v>
      </c>
      <c r="H20" s="26">
        <f t="shared" si="0"/>
        <v>200040</v>
      </c>
    </row>
    <row r="21" spans="1:8" ht="63">
      <c r="A21" s="23"/>
      <c r="B21" s="242" t="s">
        <v>14</v>
      </c>
      <c r="C21" s="242"/>
      <c r="D21" s="242"/>
      <c r="E21" s="24" t="s">
        <v>52</v>
      </c>
      <c r="F21" s="27" t="s">
        <v>44</v>
      </c>
      <c r="G21" s="25">
        <v>0.529</v>
      </c>
      <c r="H21" s="26">
        <f t="shared" si="0"/>
        <v>49219</v>
      </c>
    </row>
    <row r="22" spans="1:8" ht="15.75" customHeight="1">
      <c r="A22" s="23"/>
      <c r="B22" s="199" t="s">
        <v>32</v>
      </c>
      <c r="C22" s="200"/>
      <c r="D22" s="200"/>
      <c r="E22" s="24" t="s">
        <v>31</v>
      </c>
      <c r="F22" s="27" t="s">
        <v>44</v>
      </c>
      <c r="G22" s="25">
        <f>3.52-G23-G24</f>
        <v>3.2325</v>
      </c>
      <c r="H22" s="26">
        <f t="shared" si="0"/>
        <v>300758</v>
      </c>
    </row>
    <row r="23" spans="1:8" ht="36.75" customHeight="1">
      <c r="A23" s="23"/>
      <c r="B23" s="199" t="s">
        <v>25</v>
      </c>
      <c r="C23" s="199"/>
      <c r="D23" s="199"/>
      <c r="E23" s="24" t="s">
        <v>31</v>
      </c>
      <c r="F23" s="27" t="s">
        <v>44</v>
      </c>
      <c r="G23" s="25">
        <v>0.2875</v>
      </c>
      <c r="H23" s="26">
        <f t="shared" si="0"/>
        <v>26750</v>
      </c>
    </row>
    <row r="24" spans="1:8" ht="31.5">
      <c r="A24" s="23"/>
      <c r="B24" s="199" t="s">
        <v>26</v>
      </c>
      <c r="C24" s="199"/>
      <c r="D24" s="199"/>
      <c r="E24" s="24" t="s">
        <v>31</v>
      </c>
      <c r="F24" s="27" t="s">
        <v>44</v>
      </c>
      <c r="G24" s="25">
        <v>0</v>
      </c>
      <c r="H24" s="26">
        <f t="shared" si="0"/>
        <v>0</v>
      </c>
    </row>
    <row r="25" spans="1:8" ht="31.5">
      <c r="A25" s="23"/>
      <c r="B25" s="200" t="s">
        <v>19</v>
      </c>
      <c r="C25" s="200"/>
      <c r="D25" s="200"/>
      <c r="E25" s="24" t="s">
        <v>31</v>
      </c>
      <c r="F25" s="27" t="s">
        <v>44</v>
      </c>
      <c r="G25" s="25">
        <v>1.4489999999999998</v>
      </c>
      <c r="H25" s="26">
        <f t="shared" si="0"/>
        <v>134818</v>
      </c>
    </row>
    <row r="26" spans="1:8" ht="31.5" customHeight="1">
      <c r="A26" s="23"/>
      <c r="B26" s="214" t="s">
        <v>27</v>
      </c>
      <c r="C26" s="214"/>
      <c r="D26" s="214"/>
      <c r="E26" s="6"/>
      <c r="F26" s="27"/>
      <c r="G26" s="8">
        <f>SUM(G13:G25)</f>
        <v>13.038299999999998</v>
      </c>
      <c r="H26" s="26">
        <f t="shared" si="0"/>
        <v>1213110</v>
      </c>
    </row>
    <row r="27" spans="1:8" ht="15.75">
      <c r="A27" s="18" t="s">
        <v>35</v>
      </c>
      <c r="B27" s="201" t="s">
        <v>33</v>
      </c>
      <c r="C27" s="200"/>
      <c r="D27" s="200"/>
      <c r="E27" s="6"/>
      <c r="F27" s="13" t="s">
        <v>53</v>
      </c>
      <c r="G27" s="25">
        <v>1.45</v>
      </c>
      <c r="H27" s="26">
        <f t="shared" si="0"/>
        <v>134911</v>
      </c>
    </row>
    <row r="28" spans="1:8" ht="18.75">
      <c r="A28" s="29" t="s">
        <v>36</v>
      </c>
      <c r="B28" s="202" t="s">
        <v>40</v>
      </c>
      <c r="C28" s="202"/>
      <c r="D28" s="202"/>
      <c r="E28" s="202"/>
      <c r="F28" s="202"/>
      <c r="G28" s="8">
        <f>SUM(G26:G27)</f>
        <v>14.488299999999997</v>
      </c>
      <c r="H28" s="30">
        <f t="shared" si="0"/>
        <v>1348020</v>
      </c>
    </row>
    <row r="29" spans="1:8" ht="19.5" thickBot="1">
      <c r="A29" s="31">
        <v>6</v>
      </c>
      <c r="B29" s="206" t="s">
        <v>54</v>
      </c>
      <c r="C29" s="203"/>
      <c r="D29" s="204"/>
      <c r="E29" s="32"/>
      <c r="F29" s="33" t="s">
        <v>53</v>
      </c>
      <c r="G29" s="34">
        <v>0.76</v>
      </c>
      <c r="H29" s="35">
        <f>ROUND($E$2*G29*12,0)</f>
        <v>70712</v>
      </c>
    </row>
    <row r="30" spans="1:8" ht="18.75">
      <c r="A30" s="36"/>
      <c r="B30" s="37"/>
      <c r="C30" s="37"/>
      <c r="D30" s="37"/>
      <c r="E30" s="37"/>
      <c r="F30" s="38"/>
      <c r="G30" s="39"/>
      <c r="H30" s="40"/>
    </row>
    <row r="31" spans="2:8" ht="15.75" customHeight="1">
      <c r="B31" s="12" t="s">
        <v>55</v>
      </c>
      <c r="E31" s="12" t="s">
        <v>127</v>
      </c>
      <c r="F31" s="12" t="s">
        <v>56</v>
      </c>
      <c r="G31" s="41"/>
      <c r="H31" s="42"/>
    </row>
    <row r="32" spans="7:8" ht="15.75">
      <c r="G32" s="41"/>
      <c r="H32" s="42"/>
    </row>
    <row r="33" spans="6:8" ht="15.75">
      <c r="F33" t="s">
        <v>57</v>
      </c>
      <c r="G33" s="41"/>
      <c r="H33" s="42"/>
    </row>
    <row r="34" spans="7:8" ht="15.75" customHeight="1">
      <c r="G34" s="41"/>
      <c r="H34" s="42"/>
    </row>
  </sheetData>
  <sheetProtection/>
  <mergeCells count="24">
    <mergeCell ref="B20:D20"/>
    <mergeCell ref="B15:D15"/>
    <mergeCell ref="A1:H1"/>
    <mergeCell ref="B6:D6"/>
    <mergeCell ref="B7:F7"/>
    <mergeCell ref="B8:F8"/>
    <mergeCell ref="B9:F9"/>
    <mergeCell ref="B10:F10"/>
    <mergeCell ref="B11:F11"/>
    <mergeCell ref="B23:D23"/>
    <mergeCell ref="B28:F28"/>
    <mergeCell ref="B16:D16"/>
    <mergeCell ref="B13:D13"/>
    <mergeCell ref="B14:D14"/>
    <mergeCell ref="B21:D21"/>
    <mergeCell ref="B22:D22"/>
    <mergeCell ref="B17:D17"/>
    <mergeCell ref="B18:D18"/>
    <mergeCell ref="B19:D19"/>
    <mergeCell ref="B29:D29"/>
    <mergeCell ref="B24:D24"/>
    <mergeCell ref="B25:D25"/>
    <mergeCell ref="B26:D26"/>
    <mergeCell ref="B27:D27"/>
  </mergeCells>
  <printOptions/>
  <pageMargins left="0.53" right="0" top="0" bottom="0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M7" sqref="M7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19.00390625" style="0" customWidth="1"/>
    <col min="5" max="5" width="15.875" style="0" customWidth="1"/>
    <col min="6" max="6" width="22.50390625" style="0" hidden="1" customWidth="1"/>
    <col min="7" max="7" width="6.75390625" style="0" customWidth="1"/>
    <col min="8" max="8" width="10.625" style="0" bestFit="1" customWidth="1"/>
    <col min="9" max="9" width="12.00390625" style="0" customWidth="1"/>
    <col min="10" max="10" width="13.00390625" style="0" customWidth="1"/>
  </cols>
  <sheetData>
    <row r="1" spans="1:10" ht="126.75" customHeight="1">
      <c r="A1" s="238" t="s">
        <v>134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54" customHeight="1">
      <c r="A2" s="239" t="s">
        <v>129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9" ht="18.75">
      <c r="A3" s="1" t="s">
        <v>43</v>
      </c>
      <c r="B3" s="1" t="s">
        <v>58</v>
      </c>
      <c r="C3" s="2"/>
      <c r="D3" s="2" t="s">
        <v>0</v>
      </c>
      <c r="E3" s="4">
        <v>7753.5</v>
      </c>
      <c r="F3" s="2"/>
      <c r="H3" s="41">
        <v>5514.27</v>
      </c>
      <c r="I3" s="44" t="s">
        <v>137</v>
      </c>
    </row>
    <row r="4" spans="2:9" ht="15.75">
      <c r="B4" s="3" t="s">
        <v>1</v>
      </c>
      <c r="C4" s="11">
        <v>10</v>
      </c>
      <c r="D4" s="2" t="s">
        <v>2</v>
      </c>
      <c r="E4" s="4">
        <v>140</v>
      </c>
      <c r="F4" s="2"/>
      <c r="I4" t="s">
        <v>59</v>
      </c>
    </row>
    <row r="5" spans="2:9" ht="15.75">
      <c r="B5" s="3" t="s">
        <v>3</v>
      </c>
      <c r="C5" s="4">
        <v>4</v>
      </c>
      <c r="D5" s="2" t="s">
        <v>4</v>
      </c>
      <c r="E5" s="2" t="s">
        <v>45</v>
      </c>
      <c r="F5" s="2"/>
      <c r="G5" s="2"/>
      <c r="I5" s="2" t="s">
        <v>60</v>
      </c>
    </row>
    <row r="6" spans="2:9" ht="15.75">
      <c r="B6" s="3"/>
      <c r="C6" s="4"/>
      <c r="D6" s="2" t="s">
        <v>5</v>
      </c>
      <c r="E6" s="2" t="s">
        <v>15</v>
      </c>
      <c r="F6" s="2"/>
      <c r="G6" s="2"/>
      <c r="I6" t="s">
        <v>61</v>
      </c>
    </row>
    <row r="7" spans="1:10" ht="44.25" customHeight="1">
      <c r="A7" s="45" t="s">
        <v>37</v>
      </c>
      <c r="B7" s="240" t="s">
        <v>62</v>
      </c>
      <c r="C7" s="207"/>
      <c r="D7" s="208"/>
      <c r="E7" s="43" t="s">
        <v>6</v>
      </c>
      <c r="F7" s="43" t="s">
        <v>7</v>
      </c>
      <c r="G7" s="47" t="s">
        <v>63</v>
      </c>
      <c r="H7" s="209" t="s">
        <v>64</v>
      </c>
      <c r="I7" s="210"/>
      <c r="J7" s="205"/>
    </row>
    <row r="8" spans="1:10" ht="15.75">
      <c r="A8" s="9">
        <v>1</v>
      </c>
      <c r="B8" s="235"/>
      <c r="C8" s="236"/>
      <c r="D8" s="236"/>
      <c r="E8" s="236"/>
      <c r="F8" s="237"/>
      <c r="G8" s="48"/>
      <c r="H8" s="49" t="s">
        <v>65</v>
      </c>
      <c r="I8" s="50" t="s">
        <v>66</v>
      </c>
      <c r="J8" s="50" t="s">
        <v>67</v>
      </c>
    </row>
    <row r="9" spans="1:10" ht="15.75">
      <c r="A9" s="9"/>
      <c r="B9" s="235" t="s">
        <v>68</v>
      </c>
      <c r="C9" s="236"/>
      <c r="D9" s="236"/>
      <c r="E9" s="236"/>
      <c r="F9" s="237"/>
      <c r="G9" s="22"/>
      <c r="H9" s="22"/>
      <c r="I9" s="51"/>
      <c r="J9" s="50"/>
    </row>
    <row r="10" spans="1:10" ht="15.75" customHeight="1">
      <c r="A10" s="52"/>
      <c r="B10" s="232" t="s">
        <v>69</v>
      </c>
      <c r="C10" s="232"/>
      <c r="D10" s="232"/>
      <c r="E10" s="232"/>
      <c r="F10" s="232"/>
      <c r="G10" s="53"/>
      <c r="H10" s="54">
        <v>587027.21</v>
      </c>
      <c r="I10" s="19"/>
      <c r="J10" s="55">
        <f>H10+I10</f>
        <v>587027.21</v>
      </c>
    </row>
    <row r="11" spans="1:10" ht="15.75" customHeight="1">
      <c r="A11" s="52"/>
      <c r="B11" s="232" t="s">
        <v>70</v>
      </c>
      <c r="C11" s="232"/>
      <c r="D11" s="232"/>
      <c r="E11" s="232"/>
      <c r="F11" s="232"/>
      <c r="G11" s="53"/>
      <c r="H11" s="56">
        <v>0</v>
      </c>
      <c r="I11" s="19"/>
      <c r="J11" s="55">
        <f>H11+I11</f>
        <v>0</v>
      </c>
    </row>
    <row r="12" spans="1:10" ht="15.75" customHeight="1">
      <c r="A12" s="9"/>
      <c r="B12" s="232" t="s">
        <v>71</v>
      </c>
      <c r="C12" s="232"/>
      <c r="D12" s="232"/>
      <c r="E12" s="232"/>
      <c r="F12" s="232"/>
      <c r="G12" s="53"/>
      <c r="H12" s="54"/>
      <c r="I12" s="19">
        <v>0</v>
      </c>
      <c r="J12" s="55">
        <f>H12+I12</f>
        <v>0</v>
      </c>
    </row>
    <row r="13" spans="1:10" ht="15.75" customHeight="1">
      <c r="A13" s="9"/>
      <c r="B13" s="232" t="s">
        <v>72</v>
      </c>
      <c r="C13" s="232"/>
      <c r="D13" s="232"/>
      <c r="E13" s="232"/>
      <c r="F13" s="232"/>
      <c r="G13" s="53"/>
      <c r="H13" s="54"/>
      <c r="I13" s="57">
        <v>0</v>
      </c>
      <c r="J13" s="55">
        <f>H13+I13</f>
        <v>0</v>
      </c>
    </row>
    <row r="14" spans="1:10" ht="15.75" customHeight="1">
      <c r="A14" s="9"/>
      <c r="B14" s="233" t="s">
        <v>73</v>
      </c>
      <c r="C14" s="233"/>
      <c r="D14" s="233"/>
      <c r="E14" s="233"/>
      <c r="F14" s="233"/>
      <c r="G14" s="53"/>
      <c r="H14" s="58">
        <f>SUM(H10:H13)</f>
        <v>587027.21</v>
      </c>
      <c r="I14" s="58">
        <f>SUM(I10:I13)</f>
        <v>0</v>
      </c>
      <c r="J14" s="58">
        <f>SUM(J10:J13)</f>
        <v>587027.21</v>
      </c>
    </row>
    <row r="15" spans="1:10" ht="18.75" customHeight="1">
      <c r="A15" s="9">
        <v>2</v>
      </c>
      <c r="B15" s="234" t="s">
        <v>38</v>
      </c>
      <c r="C15" s="234"/>
      <c r="D15" s="234"/>
      <c r="E15" s="234"/>
      <c r="F15" s="234"/>
      <c r="G15" s="53"/>
      <c r="H15" s="54"/>
      <c r="I15" s="19"/>
      <c r="J15" s="60"/>
    </row>
    <row r="16" spans="1:10" ht="15.75">
      <c r="A16" s="9" t="s">
        <v>74</v>
      </c>
      <c r="B16" s="7" t="s">
        <v>39</v>
      </c>
      <c r="C16" s="7"/>
      <c r="D16" s="7"/>
      <c r="E16" s="7"/>
      <c r="F16" s="5"/>
      <c r="G16" s="49"/>
      <c r="H16" s="49"/>
      <c r="I16" s="46"/>
      <c r="J16" s="50"/>
    </row>
    <row r="17" spans="1:10" ht="32.25" customHeight="1">
      <c r="A17" s="61"/>
      <c r="B17" s="231" t="s">
        <v>123</v>
      </c>
      <c r="C17" s="231"/>
      <c r="D17" s="231"/>
      <c r="E17" s="62" t="s">
        <v>29</v>
      </c>
      <c r="F17" s="24" t="s">
        <v>21</v>
      </c>
      <c r="G17" s="25">
        <v>1.22</v>
      </c>
      <c r="H17" s="63">
        <f>ROUND(G17*$H$3*12,2)</f>
        <v>80728.91</v>
      </c>
      <c r="I17" s="64">
        <f>$I$12*0.08</f>
        <v>0</v>
      </c>
      <c r="J17" s="65">
        <f>SUM(H17:I17)</f>
        <v>80728.91</v>
      </c>
    </row>
    <row r="18" spans="1:10" ht="36" customHeight="1">
      <c r="A18" s="9"/>
      <c r="B18" s="229" t="s">
        <v>16</v>
      </c>
      <c r="C18" s="229"/>
      <c r="D18" s="229"/>
      <c r="E18" s="62" t="s">
        <v>29</v>
      </c>
      <c r="F18" s="24" t="s">
        <v>17</v>
      </c>
      <c r="G18" s="25">
        <v>0.28</v>
      </c>
      <c r="H18" s="63">
        <f>ROUND(G18*$H$3*12,2)</f>
        <v>18527.95</v>
      </c>
      <c r="I18" s="64">
        <f>$I$12*0.02</f>
        <v>0</v>
      </c>
      <c r="J18" s="65">
        <f>SUM(H18:I18)</f>
        <v>18527.95</v>
      </c>
    </row>
    <row r="19" spans="1:10" ht="20.25" customHeight="1">
      <c r="A19" s="9"/>
      <c r="B19" s="228" t="s">
        <v>20</v>
      </c>
      <c r="C19" s="228"/>
      <c r="D19" s="228"/>
      <c r="E19" s="66" t="s">
        <v>75</v>
      </c>
      <c r="F19" s="27" t="s">
        <v>18</v>
      </c>
      <c r="G19" s="25">
        <v>0.99</v>
      </c>
      <c r="H19" s="63">
        <f>J19-I19</f>
        <v>156421.76</v>
      </c>
      <c r="I19" s="64">
        <f>$I$12*0.07</f>
        <v>0</v>
      </c>
      <c r="J19" s="67">
        <v>156421.76</v>
      </c>
    </row>
    <row r="20" spans="1:10" ht="20.25" customHeight="1">
      <c r="A20" s="61"/>
      <c r="B20" s="231" t="s">
        <v>28</v>
      </c>
      <c r="C20" s="231"/>
      <c r="D20" s="231"/>
      <c r="E20" s="68" t="s">
        <v>9</v>
      </c>
      <c r="F20" s="28" t="s">
        <v>10</v>
      </c>
      <c r="G20" s="25">
        <v>0.51</v>
      </c>
      <c r="H20" s="63">
        <f>ROUND(G20*$H$3*12,2)</f>
        <v>33747.33</v>
      </c>
      <c r="I20" s="64">
        <f>$I$12*0.04</f>
        <v>0</v>
      </c>
      <c r="J20" s="65">
        <f>SUM(H20:I20)</f>
        <v>33747.33</v>
      </c>
    </row>
    <row r="21" spans="1:10" ht="63.75">
      <c r="A21" s="9"/>
      <c r="B21" s="228" t="s">
        <v>24</v>
      </c>
      <c r="C21" s="228"/>
      <c r="D21" s="228"/>
      <c r="E21" s="66" t="s">
        <v>76</v>
      </c>
      <c r="F21" s="27" t="s">
        <v>22</v>
      </c>
      <c r="G21" s="25">
        <v>0.12</v>
      </c>
      <c r="H21" s="63">
        <f>J21-I21</f>
        <v>6293.2</v>
      </c>
      <c r="I21" s="64">
        <f>$I$12*0.01</f>
        <v>0</v>
      </c>
      <c r="J21" s="67">
        <v>6293.2</v>
      </c>
    </row>
    <row r="22" spans="1:10" ht="20.25" customHeight="1">
      <c r="A22" s="61"/>
      <c r="B22" s="228" t="s">
        <v>11</v>
      </c>
      <c r="C22" s="228"/>
      <c r="D22" s="228"/>
      <c r="E22" s="66" t="s">
        <v>9</v>
      </c>
      <c r="F22" s="27" t="s">
        <v>12</v>
      </c>
      <c r="G22" s="25">
        <v>2.22</v>
      </c>
      <c r="H22" s="63">
        <f>J22-I22</f>
        <v>146900.15280000004</v>
      </c>
      <c r="I22" s="64">
        <f>$I$12*0.15</f>
        <v>0</v>
      </c>
      <c r="J22" s="67">
        <f>G22*H3*12</f>
        <v>146900.15280000004</v>
      </c>
    </row>
    <row r="23" spans="1:10" ht="31.5" customHeight="1">
      <c r="A23" s="61"/>
      <c r="B23" s="228" t="s">
        <v>23</v>
      </c>
      <c r="C23" s="224"/>
      <c r="D23" s="224"/>
      <c r="E23" s="69" t="s">
        <v>13</v>
      </c>
      <c r="F23" s="21" t="s">
        <v>77</v>
      </c>
      <c r="G23" s="25">
        <v>0.05</v>
      </c>
      <c r="H23" s="63">
        <f>J23-I23</f>
        <v>7474.5</v>
      </c>
      <c r="I23" s="64">
        <f>$I$12*0.003</f>
        <v>0</v>
      </c>
      <c r="J23" s="67">
        <v>7474.5</v>
      </c>
    </row>
    <row r="24" spans="1:10" ht="28.5" customHeight="1">
      <c r="A24" s="9"/>
      <c r="B24" s="228" t="s">
        <v>41</v>
      </c>
      <c r="C24" s="228"/>
      <c r="D24" s="228"/>
      <c r="E24" s="62" t="s">
        <v>31</v>
      </c>
      <c r="F24" s="70" t="s">
        <v>44</v>
      </c>
      <c r="G24" s="25">
        <v>2.15</v>
      </c>
      <c r="H24" s="63">
        <f aca="true" t="shared" si="0" ref="H24:H29">ROUND(G24*$H$3*12,2)</f>
        <v>142268.17</v>
      </c>
      <c r="I24" s="64">
        <f>$I$12*0.19</f>
        <v>0</v>
      </c>
      <c r="J24" s="65">
        <f aca="true" t="shared" si="1" ref="J24:J29">SUM(H24:I24)</f>
        <v>142268.17</v>
      </c>
    </row>
    <row r="25" spans="1:10" ht="26.25" customHeight="1">
      <c r="A25" s="9"/>
      <c r="B25" s="229" t="s">
        <v>14</v>
      </c>
      <c r="C25" s="229"/>
      <c r="D25" s="229"/>
      <c r="E25" s="62" t="s">
        <v>31</v>
      </c>
      <c r="F25" s="70" t="s">
        <v>44</v>
      </c>
      <c r="G25" s="25">
        <v>0.53</v>
      </c>
      <c r="H25" s="63">
        <f t="shared" si="0"/>
        <v>35070.76</v>
      </c>
      <c r="I25" s="64">
        <v>0</v>
      </c>
      <c r="J25" s="65">
        <f t="shared" si="1"/>
        <v>35070.76</v>
      </c>
    </row>
    <row r="26" spans="1:10" ht="30" customHeight="1">
      <c r="A26" s="9"/>
      <c r="B26" s="230" t="s">
        <v>32</v>
      </c>
      <c r="C26" s="212"/>
      <c r="D26" s="213"/>
      <c r="E26" s="62" t="s">
        <v>31</v>
      </c>
      <c r="F26" s="70" t="s">
        <v>44</v>
      </c>
      <c r="G26" s="72">
        <f>3.52-G27-G28</f>
        <v>3.23</v>
      </c>
      <c r="H26" s="63">
        <f t="shared" si="0"/>
        <v>213733.11</v>
      </c>
      <c r="I26" s="73">
        <f>$I$12*(0.18+0.02)</f>
        <v>0</v>
      </c>
      <c r="J26" s="65">
        <f t="shared" si="1"/>
        <v>213733.11</v>
      </c>
    </row>
    <row r="27" spans="1:10" ht="26.25" customHeight="1">
      <c r="A27" s="61"/>
      <c r="B27" s="228" t="s">
        <v>78</v>
      </c>
      <c r="C27" s="228"/>
      <c r="D27" s="228"/>
      <c r="E27" s="62" t="s">
        <v>31</v>
      </c>
      <c r="F27" s="70" t="s">
        <v>44</v>
      </c>
      <c r="G27" s="72">
        <v>0.29</v>
      </c>
      <c r="H27" s="63">
        <f t="shared" si="0"/>
        <v>19189.66</v>
      </c>
      <c r="I27" s="73">
        <f>$I$12*0.02</f>
        <v>0</v>
      </c>
      <c r="J27" s="65">
        <f t="shared" si="1"/>
        <v>19189.66</v>
      </c>
    </row>
    <row r="28" spans="1:10" ht="28.5" customHeight="1">
      <c r="A28" s="9"/>
      <c r="B28" s="228" t="s">
        <v>79</v>
      </c>
      <c r="C28" s="228"/>
      <c r="D28" s="228"/>
      <c r="E28" s="66" t="s">
        <v>9</v>
      </c>
      <c r="F28" s="70" t="s">
        <v>44</v>
      </c>
      <c r="G28" s="72">
        <v>0</v>
      </c>
      <c r="H28" s="63">
        <f t="shared" si="0"/>
        <v>0</v>
      </c>
      <c r="I28" s="73">
        <v>0</v>
      </c>
      <c r="J28" s="65">
        <f t="shared" si="1"/>
        <v>0</v>
      </c>
    </row>
    <row r="29" spans="1:10" ht="27" customHeight="1">
      <c r="A29" s="9"/>
      <c r="B29" s="224" t="s">
        <v>19</v>
      </c>
      <c r="C29" s="224"/>
      <c r="D29" s="224"/>
      <c r="E29" s="102" t="s">
        <v>31</v>
      </c>
      <c r="F29" s="70" t="s">
        <v>44</v>
      </c>
      <c r="G29" s="21">
        <v>1.45</v>
      </c>
      <c r="H29" s="63">
        <f t="shared" si="0"/>
        <v>95948.3</v>
      </c>
      <c r="I29" s="64">
        <f>$I$12*0.1</f>
        <v>0</v>
      </c>
      <c r="J29" s="65">
        <f t="shared" si="1"/>
        <v>95948.3</v>
      </c>
    </row>
    <row r="30" spans="1:10" ht="15.75">
      <c r="A30" s="9"/>
      <c r="B30" s="211"/>
      <c r="C30" s="212"/>
      <c r="D30" s="213"/>
      <c r="E30" s="66"/>
      <c r="F30" s="70"/>
      <c r="G30" s="21"/>
      <c r="H30" s="71"/>
      <c r="I30" s="57"/>
      <c r="J30" s="74"/>
    </row>
    <row r="31" spans="1:10" ht="15.75">
      <c r="A31" s="9"/>
      <c r="B31" s="211"/>
      <c r="C31" s="212"/>
      <c r="D31" s="213"/>
      <c r="E31" s="66"/>
      <c r="F31" s="70"/>
      <c r="G31" s="21"/>
      <c r="H31" s="71"/>
      <c r="I31" s="57"/>
      <c r="J31" s="74"/>
    </row>
    <row r="32" spans="1:10" ht="15.75">
      <c r="A32" s="9"/>
      <c r="B32" s="214" t="s">
        <v>27</v>
      </c>
      <c r="C32" s="214"/>
      <c r="D32" s="214"/>
      <c r="E32" s="6"/>
      <c r="F32" s="70"/>
      <c r="G32" s="8">
        <f>SUM(G17:G29)</f>
        <v>13.039999999999997</v>
      </c>
      <c r="H32" s="75">
        <f>SUM(H17:H31)</f>
        <v>956303.8028000002</v>
      </c>
      <c r="I32" s="76">
        <f>SUM(I17:I31)</f>
        <v>0</v>
      </c>
      <c r="J32" s="75">
        <f>SUM(J17:J31)</f>
        <v>956303.8028000002</v>
      </c>
    </row>
    <row r="33" spans="1:10" ht="15.75">
      <c r="A33" s="9"/>
      <c r="B33" s="225" t="s">
        <v>80</v>
      </c>
      <c r="C33" s="226"/>
      <c r="D33" s="227"/>
      <c r="E33" s="66" t="s">
        <v>9</v>
      </c>
      <c r="F33" s="70"/>
      <c r="G33" s="8"/>
      <c r="H33" s="75"/>
      <c r="I33" s="76"/>
      <c r="J33" s="75"/>
    </row>
    <row r="34" spans="1:10" ht="25.5">
      <c r="A34" s="9"/>
      <c r="B34" s="225" t="s">
        <v>81</v>
      </c>
      <c r="C34" s="226"/>
      <c r="D34" s="227"/>
      <c r="E34" s="62" t="s">
        <v>31</v>
      </c>
      <c r="F34" s="70"/>
      <c r="G34" s="8"/>
      <c r="H34" s="75"/>
      <c r="I34" s="76"/>
      <c r="J34" s="75"/>
    </row>
    <row r="35" spans="1:10" ht="15.75">
      <c r="A35" s="9"/>
      <c r="B35" s="99"/>
      <c r="C35" s="100"/>
      <c r="D35" s="100"/>
      <c r="E35" s="101"/>
      <c r="F35" s="70"/>
      <c r="G35" s="8"/>
      <c r="H35" s="75"/>
      <c r="I35" s="76"/>
      <c r="J35" s="75"/>
    </row>
    <row r="36" spans="1:10" ht="15" customHeight="1">
      <c r="A36" s="9" t="s">
        <v>82</v>
      </c>
      <c r="B36" s="215" t="s">
        <v>83</v>
      </c>
      <c r="C36" s="216"/>
      <c r="D36" s="216"/>
      <c r="E36" s="217"/>
      <c r="F36" s="70" t="s">
        <v>44</v>
      </c>
      <c r="G36" s="10">
        <f>H36/E3/12</f>
        <v>0.022237269190258164</v>
      </c>
      <c r="H36" s="77">
        <v>2069</v>
      </c>
      <c r="I36" s="78">
        <v>0</v>
      </c>
      <c r="J36" s="58">
        <f>SUM(H36:I36)</f>
        <v>2069</v>
      </c>
    </row>
    <row r="37" spans="1:10" ht="14.25" customHeight="1">
      <c r="A37" s="79"/>
      <c r="B37" s="219" t="s">
        <v>40</v>
      </c>
      <c r="C37" s="219"/>
      <c r="D37" s="219"/>
      <c r="E37" s="219"/>
      <c r="F37" s="219"/>
      <c r="G37" s="5">
        <f>SUM(G32:G36)</f>
        <v>13.062237269190256</v>
      </c>
      <c r="H37" s="80">
        <f>SUM(H32:H36)</f>
        <v>958372.8028000002</v>
      </c>
      <c r="I37" s="81">
        <f>SUM(I32:I36)</f>
        <v>0</v>
      </c>
      <c r="J37" s="80">
        <f>SUM(J32:J36)</f>
        <v>958372.8028000002</v>
      </c>
    </row>
    <row r="38" spans="1:10" ht="15.75">
      <c r="A38" s="9" t="s">
        <v>84</v>
      </c>
      <c r="B38" s="220" t="s">
        <v>85</v>
      </c>
      <c r="C38" s="220"/>
      <c r="D38" s="220"/>
      <c r="E38" s="220"/>
      <c r="F38" s="220"/>
      <c r="G38" s="82"/>
      <c r="H38" s="83">
        <v>0</v>
      </c>
      <c r="I38" s="83">
        <v>0</v>
      </c>
      <c r="J38" s="84">
        <f>SUM(H38:I38)</f>
        <v>0</v>
      </c>
    </row>
    <row r="39" spans="1:10" ht="15" customHeight="1">
      <c r="A39" s="79"/>
      <c r="B39" s="219" t="s">
        <v>86</v>
      </c>
      <c r="C39" s="219"/>
      <c r="D39" s="219"/>
      <c r="E39" s="219"/>
      <c r="F39" s="219"/>
      <c r="G39" s="5">
        <f>SUM(G37:G38)</f>
        <v>13.062237269190256</v>
      </c>
      <c r="H39" s="80">
        <f>SUM(H37:H38)</f>
        <v>958372.8028000002</v>
      </c>
      <c r="I39" s="81">
        <f>SUM(I37:I38)</f>
        <v>0</v>
      </c>
      <c r="J39" s="80">
        <f>SUM(J37:J38)</f>
        <v>958372.8028000002</v>
      </c>
    </row>
    <row r="40" spans="1:10" ht="15.75" customHeight="1">
      <c r="A40" s="9">
        <v>3</v>
      </c>
      <c r="B40" s="221" t="s">
        <v>130</v>
      </c>
      <c r="C40" s="222"/>
      <c r="D40" s="222"/>
      <c r="E40" s="222"/>
      <c r="F40" s="222"/>
      <c r="G40" s="223"/>
      <c r="H40" s="85">
        <f>H14-H39</f>
        <v>-371345.5928000002</v>
      </c>
      <c r="I40" s="63">
        <f>I14-I39</f>
        <v>0</v>
      </c>
      <c r="J40" s="86">
        <f>J14-J39</f>
        <v>-371345.5928000002</v>
      </c>
    </row>
    <row r="41" spans="2:6" ht="15.75">
      <c r="B41" s="12"/>
      <c r="F41" s="12"/>
    </row>
    <row r="42" spans="2:6" ht="15.75">
      <c r="B42" s="87" t="s">
        <v>88</v>
      </c>
      <c r="C42" s="87"/>
      <c r="D42" s="87"/>
      <c r="E42" s="12"/>
      <c r="F42" s="12"/>
    </row>
    <row r="43" spans="2:4" ht="15.75">
      <c r="B43" s="87"/>
      <c r="C43" s="87"/>
      <c r="D43" s="87"/>
    </row>
    <row r="44" spans="2:4" ht="15.75">
      <c r="B44" s="88" t="s">
        <v>131</v>
      </c>
      <c r="C44" s="88"/>
      <c r="D44" s="89"/>
    </row>
    <row r="45" spans="2:4" ht="15.75">
      <c r="B45" s="218" t="s">
        <v>89</v>
      </c>
      <c r="C45" s="218"/>
      <c r="D45" s="218"/>
    </row>
  </sheetData>
  <sheetProtection/>
  <mergeCells count="36">
    <mergeCell ref="B15:F15"/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30:D30"/>
    <mergeCell ref="B17:D17"/>
    <mergeCell ref="B18:D18"/>
    <mergeCell ref="B19:D19"/>
    <mergeCell ref="B20:D20"/>
    <mergeCell ref="B21:D21"/>
    <mergeCell ref="B22:D22"/>
    <mergeCell ref="B14:F14"/>
    <mergeCell ref="B23:D23"/>
    <mergeCell ref="B24:D24"/>
    <mergeCell ref="B38:F38"/>
    <mergeCell ref="B39:F39"/>
    <mergeCell ref="B36:E36"/>
    <mergeCell ref="B37:F37"/>
    <mergeCell ref="B33:D33"/>
    <mergeCell ref="B34:D34"/>
    <mergeCell ref="B40:G40"/>
    <mergeCell ref="B45:D45"/>
    <mergeCell ref="B25:D25"/>
    <mergeCell ref="B26:D26"/>
    <mergeCell ref="B27:D27"/>
    <mergeCell ref="B28:D28"/>
    <mergeCell ref="B29:D29"/>
    <mergeCell ref="B31:D31"/>
    <mergeCell ref="B32:D32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9">
      <selection activeCell="G28" sqref="G28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75390625" style="0" customWidth="1"/>
    <col min="6" max="6" width="18.00390625" style="0" hidden="1" customWidth="1"/>
    <col min="7" max="7" width="7.00390625" style="0" bestFit="1" customWidth="1"/>
    <col min="8" max="8" width="12.625" style="0" customWidth="1"/>
    <col min="9" max="9" width="9.875" style="0" bestFit="1" customWidth="1"/>
  </cols>
  <sheetData>
    <row r="1" spans="1:8" ht="121.5" customHeight="1">
      <c r="A1" s="238" t="s">
        <v>135</v>
      </c>
      <c r="B1" s="238"/>
      <c r="C1" s="238"/>
      <c r="D1" s="238"/>
      <c r="E1" s="238"/>
      <c r="F1" s="238"/>
      <c r="G1" s="238"/>
      <c r="H1" s="238"/>
    </row>
    <row r="2" spans="1:6" ht="18.75">
      <c r="A2" s="1" t="s">
        <v>43</v>
      </c>
      <c r="B2" s="1" t="s">
        <v>58</v>
      </c>
      <c r="C2" s="2"/>
      <c r="D2" s="2" t="s">
        <v>0</v>
      </c>
      <c r="E2" s="4">
        <v>7753.5</v>
      </c>
      <c r="F2" s="2"/>
    </row>
    <row r="3" spans="2:6" ht="15.75">
      <c r="B3" s="3" t="s">
        <v>1</v>
      </c>
      <c r="C3" s="11">
        <v>10</v>
      </c>
      <c r="D3" s="2" t="s">
        <v>2</v>
      </c>
      <c r="E3" s="4">
        <v>140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45</v>
      </c>
      <c r="F4" s="2"/>
      <c r="G4" s="2"/>
    </row>
    <row r="5" spans="2:7" ht="16.5" thickBot="1">
      <c r="B5" s="3"/>
      <c r="C5" s="4"/>
      <c r="D5" s="2" t="s">
        <v>5</v>
      </c>
      <c r="E5" s="2" t="s">
        <v>15</v>
      </c>
      <c r="F5" s="2"/>
      <c r="G5" s="2"/>
    </row>
    <row r="6" spans="1:8" ht="42" customHeight="1">
      <c r="A6" s="14" t="s">
        <v>37</v>
      </c>
      <c r="B6" s="243"/>
      <c r="C6" s="243"/>
      <c r="D6" s="243"/>
      <c r="E6" s="15" t="s">
        <v>6</v>
      </c>
      <c r="F6" s="15" t="s">
        <v>7</v>
      </c>
      <c r="G6" s="16" t="s">
        <v>46</v>
      </c>
      <c r="H6" s="17" t="s">
        <v>47</v>
      </c>
    </row>
    <row r="7" spans="1:8" ht="15.75" customHeight="1">
      <c r="A7" s="18"/>
      <c r="B7" s="244" t="s">
        <v>48</v>
      </c>
      <c r="C7" s="244"/>
      <c r="D7" s="244"/>
      <c r="E7" s="244"/>
      <c r="F7" s="244"/>
      <c r="G7" s="19"/>
      <c r="H7" s="20"/>
    </row>
    <row r="8" spans="1:8" ht="15.75" customHeight="1">
      <c r="A8" s="18"/>
      <c r="B8" s="233" t="s">
        <v>42</v>
      </c>
      <c r="C8" s="233"/>
      <c r="D8" s="233"/>
      <c r="E8" s="233"/>
      <c r="F8" s="233"/>
      <c r="G8" s="21"/>
      <c r="H8" s="20"/>
    </row>
    <row r="9" spans="1:8" ht="15.75" customHeight="1">
      <c r="A9" s="18">
        <v>1</v>
      </c>
      <c r="B9" s="233" t="s">
        <v>49</v>
      </c>
      <c r="C9" s="233"/>
      <c r="D9" s="233"/>
      <c r="E9" s="233"/>
      <c r="F9" s="233"/>
      <c r="G9" s="10">
        <f>G28</f>
        <v>14.921000000000003</v>
      </c>
      <c r="H9" s="20">
        <f>ROUND(E2*G9*12,2)</f>
        <v>1388279.68</v>
      </c>
    </row>
    <row r="10" spans="1:8" ht="15.75">
      <c r="A10" s="18"/>
      <c r="B10" s="201" t="s">
        <v>50</v>
      </c>
      <c r="C10" s="201"/>
      <c r="D10" s="201"/>
      <c r="E10" s="201"/>
      <c r="F10" s="201"/>
      <c r="G10" s="9">
        <v>0.78</v>
      </c>
      <c r="H10" s="20">
        <f>ROUND($E$2*G10*12,0)</f>
        <v>72573</v>
      </c>
    </row>
    <row r="11" spans="1:8" ht="18.75">
      <c r="A11" s="18">
        <v>5</v>
      </c>
      <c r="B11" s="234" t="s">
        <v>38</v>
      </c>
      <c r="C11" s="234"/>
      <c r="D11" s="234"/>
      <c r="E11" s="234"/>
      <c r="F11" s="234"/>
      <c r="G11" s="21"/>
      <c r="H11" s="20"/>
    </row>
    <row r="12" spans="1:8" ht="15.75" customHeight="1">
      <c r="A12" s="18" t="s">
        <v>34</v>
      </c>
      <c r="B12" s="7" t="s">
        <v>39</v>
      </c>
      <c r="C12" s="7"/>
      <c r="D12" s="7"/>
      <c r="E12" s="7"/>
      <c r="F12" s="5"/>
      <c r="G12" s="22"/>
      <c r="H12" s="20"/>
    </row>
    <row r="13" spans="1:8" ht="34.5" customHeight="1">
      <c r="A13" s="23"/>
      <c r="B13" s="245" t="s">
        <v>132</v>
      </c>
      <c r="C13" s="242"/>
      <c r="D13" s="242"/>
      <c r="E13" s="24" t="s">
        <v>29</v>
      </c>
      <c r="F13" s="24" t="s">
        <v>21</v>
      </c>
      <c r="G13" s="25">
        <v>1.26</v>
      </c>
      <c r="H13" s="26">
        <f aca="true" t="shared" si="0" ref="H13:H28">ROUND($E$2*G13*12,0)</f>
        <v>117233</v>
      </c>
    </row>
    <row r="14" spans="1:8" ht="18.75" customHeight="1">
      <c r="A14" s="23"/>
      <c r="B14" s="242" t="s">
        <v>16</v>
      </c>
      <c r="C14" s="242"/>
      <c r="D14" s="242"/>
      <c r="E14" s="24" t="s">
        <v>29</v>
      </c>
      <c r="F14" s="24" t="s">
        <v>17</v>
      </c>
      <c r="G14" s="25">
        <v>0.29</v>
      </c>
      <c r="H14" s="26">
        <f t="shared" si="0"/>
        <v>26982</v>
      </c>
    </row>
    <row r="15" spans="1:8" ht="15.75">
      <c r="A15" s="23"/>
      <c r="B15" s="199" t="s">
        <v>20</v>
      </c>
      <c r="C15" s="199"/>
      <c r="D15" s="199"/>
      <c r="E15" s="27" t="s">
        <v>8</v>
      </c>
      <c r="F15" s="27" t="s">
        <v>18</v>
      </c>
      <c r="G15" s="25">
        <v>1.02</v>
      </c>
      <c r="H15" s="26">
        <f t="shared" si="0"/>
        <v>94903</v>
      </c>
    </row>
    <row r="16" spans="1:8" ht="31.5" customHeight="1">
      <c r="A16" s="23"/>
      <c r="B16" s="241" t="s">
        <v>28</v>
      </c>
      <c r="C16" s="241"/>
      <c r="D16" s="241"/>
      <c r="E16" s="28" t="s">
        <v>9</v>
      </c>
      <c r="F16" s="28" t="s">
        <v>10</v>
      </c>
      <c r="G16" s="25">
        <v>0.53</v>
      </c>
      <c r="H16" s="26">
        <f t="shared" si="0"/>
        <v>49312</v>
      </c>
    </row>
    <row r="17" spans="1:8" ht="15.75" customHeight="1">
      <c r="A17" s="23"/>
      <c r="B17" s="199" t="s">
        <v>24</v>
      </c>
      <c r="C17" s="199"/>
      <c r="D17" s="199"/>
      <c r="E17" s="27" t="s">
        <v>30</v>
      </c>
      <c r="F17" s="27" t="s">
        <v>22</v>
      </c>
      <c r="G17" s="25">
        <v>0.12100000000000001</v>
      </c>
      <c r="H17" s="26">
        <f t="shared" si="0"/>
        <v>11258</v>
      </c>
    </row>
    <row r="18" spans="1:8" ht="15.75" customHeight="1">
      <c r="A18" s="23"/>
      <c r="B18" s="199" t="s">
        <v>11</v>
      </c>
      <c r="C18" s="199"/>
      <c r="D18" s="199"/>
      <c r="E18" s="27" t="s">
        <v>9</v>
      </c>
      <c r="F18" s="27" t="s">
        <v>12</v>
      </c>
      <c r="G18" s="25">
        <v>2.29</v>
      </c>
      <c r="H18" s="26">
        <f t="shared" si="0"/>
        <v>213066</v>
      </c>
    </row>
    <row r="19" spans="1:8" ht="33" customHeight="1">
      <c r="A19" s="23"/>
      <c r="B19" s="199" t="s">
        <v>23</v>
      </c>
      <c r="C19" s="200"/>
      <c r="D19" s="200"/>
      <c r="E19" s="21" t="s">
        <v>13</v>
      </c>
      <c r="F19" s="21" t="s">
        <v>51</v>
      </c>
      <c r="G19" s="25">
        <v>0.05</v>
      </c>
      <c r="H19" s="26">
        <f t="shared" si="0"/>
        <v>4652</v>
      </c>
    </row>
    <row r="20" spans="1:8" ht="31.5">
      <c r="A20" s="23"/>
      <c r="B20" s="199" t="s">
        <v>41</v>
      </c>
      <c r="C20" s="199"/>
      <c r="D20" s="199"/>
      <c r="E20" s="24" t="s">
        <v>31</v>
      </c>
      <c r="F20" s="27" t="s">
        <v>44</v>
      </c>
      <c r="G20" s="25">
        <v>2.21</v>
      </c>
      <c r="H20" s="26">
        <f t="shared" si="0"/>
        <v>205623</v>
      </c>
    </row>
    <row r="21" spans="1:8" ht="63">
      <c r="A21" s="23"/>
      <c r="B21" s="242" t="s">
        <v>14</v>
      </c>
      <c r="C21" s="242"/>
      <c r="D21" s="242"/>
      <c r="E21" s="24" t="s">
        <v>52</v>
      </c>
      <c r="F21" s="27" t="s">
        <v>44</v>
      </c>
      <c r="G21" s="25">
        <v>0.55</v>
      </c>
      <c r="H21" s="26">
        <f t="shared" si="0"/>
        <v>51173</v>
      </c>
    </row>
    <row r="22" spans="1:8" ht="15.75" customHeight="1">
      <c r="A22" s="23"/>
      <c r="B22" s="199" t="s">
        <v>32</v>
      </c>
      <c r="C22" s="200"/>
      <c r="D22" s="200"/>
      <c r="E22" s="24" t="s">
        <v>31</v>
      </c>
      <c r="F22" s="27" t="s">
        <v>44</v>
      </c>
      <c r="G22" s="25">
        <f>3.62-G23-G24</f>
        <v>3.3200000000000003</v>
      </c>
      <c r="H22" s="26">
        <f t="shared" si="0"/>
        <v>308899</v>
      </c>
    </row>
    <row r="23" spans="1:8" ht="36.75" customHeight="1">
      <c r="A23" s="23"/>
      <c r="B23" s="199" t="s">
        <v>25</v>
      </c>
      <c r="C23" s="199"/>
      <c r="D23" s="199"/>
      <c r="E23" s="24" t="s">
        <v>31</v>
      </c>
      <c r="F23" s="27" t="s">
        <v>44</v>
      </c>
      <c r="G23" s="25">
        <v>0.3</v>
      </c>
      <c r="H23" s="26">
        <f t="shared" si="0"/>
        <v>27913</v>
      </c>
    </row>
    <row r="24" spans="1:8" ht="31.5">
      <c r="A24" s="23"/>
      <c r="B24" s="199" t="s">
        <v>26</v>
      </c>
      <c r="C24" s="199"/>
      <c r="D24" s="199"/>
      <c r="E24" s="24" t="s">
        <v>31</v>
      </c>
      <c r="F24" s="27" t="s">
        <v>44</v>
      </c>
      <c r="G24" s="25">
        <v>0</v>
      </c>
      <c r="H24" s="26">
        <f t="shared" si="0"/>
        <v>0</v>
      </c>
    </row>
    <row r="25" spans="1:8" ht="31.5">
      <c r="A25" s="23"/>
      <c r="B25" s="200" t="s">
        <v>19</v>
      </c>
      <c r="C25" s="200"/>
      <c r="D25" s="200"/>
      <c r="E25" s="24" t="s">
        <v>31</v>
      </c>
      <c r="F25" s="27" t="s">
        <v>44</v>
      </c>
      <c r="G25" s="25">
        <v>1.49</v>
      </c>
      <c r="H25" s="26">
        <f t="shared" si="0"/>
        <v>138633</v>
      </c>
    </row>
    <row r="26" spans="1:8" ht="31.5" customHeight="1">
      <c r="A26" s="23"/>
      <c r="B26" s="214" t="s">
        <v>27</v>
      </c>
      <c r="C26" s="214"/>
      <c r="D26" s="214"/>
      <c r="E26" s="6"/>
      <c r="F26" s="27"/>
      <c r="G26" s="8">
        <f>SUM(G13:G25)</f>
        <v>13.431000000000003</v>
      </c>
      <c r="H26" s="26">
        <f t="shared" si="0"/>
        <v>1249647</v>
      </c>
    </row>
    <row r="27" spans="1:8" ht="15.75">
      <c r="A27" s="18" t="s">
        <v>35</v>
      </c>
      <c r="B27" s="201" t="s">
        <v>33</v>
      </c>
      <c r="C27" s="200"/>
      <c r="D27" s="200"/>
      <c r="E27" s="6"/>
      <c r="F27" s="13" t="s">
        <v>53</v>
      </c>
      <c r="G27" s="25">
        <v>1.49</v>
      </c>
      <c r="H27" s="26">
        <v>0</v>
      </c>
    </row>
    <row r="28" spans="1:8" ht="18.75">
      <c r="A28" s="29" t="s">
        <v>36</v>
      </c>
      <c r="B28" s="202" t="s">
        <v>40</v>
      </c>
      <c r="C28" s="202"/>
      <c r="D28" s="202"/>
      <c r="E28" s="202"/>
      <c r="F28" s="202"/>
      <c r="G28" s="8">
        <f>SUM(G26:G27)</f>
        <v>14.921000000000003</v>
      </c>
      <c r="H28" s="30">
        <f t="shared" si="0"/>
        <v>1388280</v>
      </c>
    </row>
    <row r="29" spans="1:8" ht="19.5" thickBot="1">
      <c r="A29" s="31">
        <v>6</v>
      </c>
      <c r="B29" s="206" t="s">
        <v>54</v>
      </c>
      <c r="C29" s="203"/>
      <c r="D29" s="204"/>
      <c r="E29" s="32"/>
      <c r="F29" s="33" t="s">
        <v>53</v>
      </c>
      <c r="G29" s="34">
        <v>0.78</v>
      </c>
      <c r="H29" s="35">
        <v>0</v>
      </c>
    </row>
    <row r="30" spans="2:7" ht="47.25" customHeight="1">
      <c r="B30" s="246" t="s">
        <v>133</v>
      </c>
      <c r="C30" s="246"/>
      <c r="D30" s="246"/>
      <c r="E30" s="246"/>
      <c r="F30" s="41"/>
      <c r="G30" s="42"/>
    </row>
    <row r="31" spans="2:8" ht="24.75" customHeight="1">
      <c r="B31" s="12" t="s">
        <v>55</v>
      </c>
      <c r="E31" s="12" t="s">
        <v>127</v>
      </c>
      <c r="F31" s="12" t="s">
        <v>56</v>
      </c>
      <c r="G31" s="41"/>
      <c r="H31" s="42"/>
    </row>
    <row r="32" spans="7:8" ht="15.75">
      <c r="G32" s="41"/>
      <c r="H32" s="42"/>
    </row>
    <row r="33" spans="6:8" ht="15.75">
      <c r="F33" t="s">
        <v>57</v>
      </c>
      <c r="G33" s="41"/>
      <c r="H33" s="42"/>
    </row>
    <row r="34" spans="7:8" ht="15.75" customHeight="1">
      <c r="G34" s="41"/>
      <c r="H34" s="42"/>
    </row>
  </sheetData>
  <sheetProtection/>
  <mergeCells count="25">
    <mergeCell ref="B21:D21"/>
    <mergeCell ref="B30:E30"/>
    <mergeCell ref="B24:D24"/>
    <mergeCell ref="B25:D25"/>
    <mergeCell ref="B26:D26"/>
    <mergeCell ref="B27:D27"/>
    <mergeCell ref="B28:F28"/>
    <mergeCell ref="B29:D29"/>
    <mergeCell ref="B22:D22"/>
    <mergeCell ref="B23:D23"/>
    <mergeCell ref="B20:D20"/>
    <mergeCell ref="B16:D16"/>
    <mergeCell ref="B17:D17"/>
    <mergeCell ref="B18:D18"/>
    <mergeCell ref="B19:D19"/>
    <mergeCell ref="B11:F11"/>
    <mergeCell ref="B13:D13"/>
    <mergeCell ref="B14:D14"/>
    <mergeCell ref="B15:D15"/>
    <mergeCell ref="B9:F9"/>
    <mergeCell ref="B10:F10"/>
    <mergeCell ref="A1:H1"/>
    <mergeCell ref="B6:D6"/>
    <mergeCell ref="B7:F7"/>
    <mergeCell ref="B8:F8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1">
      <selection activeCell="G20" sqref="G20:G32"/>
    </sheetView>
  </sheetViews>
  <sheetFormatPr defaultColWidth="9.00390625" defaultRowHeight="15.75"/>
  <cols>
    <col min="1" max="1" width="7.75390625" style="0" customWidth="1"/>
    <col min="2" max="2" width="29.25390625" style="0" customWidth="1"/>
    <col min="3" max="3" width="3.75390625" style="0" customWidth="1"/>
    <col min="4" max="4" width="14.875" style="0" customWidth="1"/>
    <col min="5" max="5" width="17.75390625" style="0" customWidth="1"/>
    <col min="6" max="6" width="18.00390625" style="0" hidden="1" customWidth="1"/>
    <col min="7" max="7" width="11.25390625" style="0" customWidth="1"/>
    <col min="8" max="8" width="12.625" style="0" customWidth="1"/>
    <col min="9" max="9" width="9.875" style="0" bestFit="1" customWidth="1"/>
  </cols>
  <sheetData>
    <row r="1" spans="1:8" ht="69.75" customHeight="1">
      <c r="A1" s="103"/>
      <c r="B1" s="103"/>
      <c r="C1" s="258" t="s">
        <v>146</v>
      </c>
      <c r="D1" s="258"/>
      <c r="E1" s="258"/>
      <c r="F1" s="258"/>
      <c r="G1" s="258"/>
      <c r="H1" s="258"/>
    </row>
    <row r="2" spans="1:6" ht="18.75">
      <c r="A2" s="1"/>
      <c r="B2" s="1"/>
      <c r="C2" s="2"/>
      <c r="D2" s="2"/>
      <c r="E2" s="4"/>
      <c r="F2" s="2"/>
    </row>
    <row r="3" spans="1:6" ht="18.75">
      <c r="A3" s="1"/>
      <c r="B3" s="1"/>
      <c r="C3" s="2"/>
      <c r="D3" s="2"/>
      <c r="E3" s="4"/>
      <c r="F3" s="2"/>
    </row>
    <row r="4" spans="1:8" ht="20.25">
      <c r="A4" s="238" t="s">
        <v>138</v>
      </c>
      <c r="B4" s="238"/>
      <c r="C4" s="238"/>
      <c r="D4" s="238"/>
      <c r="E4" s="238"/>
      <c r="F4" s="238"/>
      <c r="G4" s="238"/>
      <c r="H4" s="238"/>
    </row>
    <row r="5" spans="2:7" ht="15.75">
      <c r="B5" s="3"/>
      <c r="C5" s="4"/>
      <c r="D5" s="2"/>
      <c r="E5" s="2"/>
      <c r="F5" s="2"/>
      <c r="G5" s="2"/>
    </row>
    <row r="6" spans="2:8" ht="18" customHeight="1">
      <c r="B6" s="259" t="s">
        <v>156</v>
      </c>
      <c r="C6" s="259"/>
      <c r="D6" s="259"/>
      <c r="E6" s="259"/>
      <c r="F6" s="259"/>
      <c r="G6" s="259"/>
      <c r="H6" s="259"/>
    </row>
    <row r="7" spans="2:8" ht="15.75">
      <c r="B7" s="113"/>
      <c r="C7" s="113"/>
      <c r="D7" s="113"/>
      <c r="E7" s="113"/>
      <c r="F7" s="113"/>
      <c r="G7" s="113"/>
      <c r="H7" s="113"/>
    </row>
    <row r="8" spans="1:6" ht="18.75">
      <c r="A8" s="1" t="s">
        <v>43</v>
      </c>
      <c r="B8" s="1" t="s">
        <v>174</v>
      </c>
      <c r="C8" s="2"/>
      <c r="D8" s="2" t="s">
        <v>0</v>
      </c>
      <c r="E8" s="4">
        <v>7773.4</v>
      </c>
      <c r="F8" s="2"/>
    </row>
    <row r="9" spans="2:6" ht="15.75">
      <c r="B9" s="3" t="s">
        <v>1</v>
      </c>
      <c r="C9" s="11">
        <v>10</v>
      </c>
      <c r="D9" s="2" t="s">
        <v>2</v>
      </c>
      <c r="E9" s="4">
        <v>140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45</v>
      </c>
      <c r="F10" s="2"/>
      <c r="G10" s="2"/>
    </row>
    <row r="11" spans="2:7" ht="16.5" thickBot="1">
      <c r="B11" s="3"/>
      <c r="C11" s="4"/>
      <c r="D11" s="2" t="s">
        <v>5</v>
      </c>
      <c r="E11" s="2" t="s">
        <v>15</v>
      </c>
      <c r="F11" s="2"/>
      <c r="G11" s="2"/>
    </row>
    <row r="12" spans="1:8" ht="99.75" customHeight="1">
      <c r="A12" s="14" t="s">
        <v>37</v>
      </c>
      <c r="B12" s="261" t="s">
        <v>62</v>
      </c>
      <c r="C12" s="261"/>
      <c r="D12" s="261"/>
      <c r="E12" s="15" t="s">
        <v>6</v>
      </c>
      <c r="F12" s="15" t="s">
        <v>7</v>
      </c>
      <c r="G12" s="126" t="s">
        <v>157</v>
      </c>
      <c r="H12" s="127" t="s">
        <v>158</v>
      </c>
    </row>
    <row r="13" spans="1:8" ht="25.5">
      <c r="A13" s="105">
        <v>1</v>
      </c>
      <c r="B13" s="240">
        <v>2</v>
      </c>
      <c r="C13" s="207"/>
      <c r="D13" s="260"/>
      <c r="E13" s="106">
        <v>3</v>
      </c>
      <c r="F13" s="104"/>
      <c r="G13" s="107">
        <v>4</v>
      </c>
      <c r="H13" s="108" t="s">
        <v>159</v>
      </c>
    </row>
    <row r="14" spans="1:8" ht="15.75" customHeight="1" hidden="1">
      <c r="A14" s="18"/>
      <c r="B14" s="244" t="s">
        <v>48</v>
      </c>
      <c r="C14" s="244"/>
      <c r="D14" s="244"/>
      <c r="E14" s="244"/>
      <c r="F14" s="244"/>
      <c r="G14" s="19"/>
      <c r="H14" s="20"/>
    </row>
    <row r="15" spans="1:8" ht="15.75" customHeight="1" hidden="1">
      <c r="A15" s="18"/>
      <c r="B15" s="233" t="s">
        <v>42</v>
      </c>
      <c r="C15" s="233"/>
      <c r="D15" s="233"/>
      <c r="E15" s="233"/>
      <c r="F15" s="233"/>
      <c r="G15" s="21"/>
      <c r="H15" s="20"/>
    </row>
    <row r="16" spans="1:8" ht="15.75" customHeight="1" hidden="1">
      <c r="A16" s="18">
        <v>1</v>
      </c>
      <c r="B16" s="233" t="s">
        <v>49</v>
      </c>
      <c r="C16" s="233"/>
      <c r="D16" s="233"/>
      <c r="E16" s="233"/>
      <c r="F16" s="233"/>
      <c r="G16" s="10">
        <f>G35</f>
        <v>15.36</v>
      </c>
      <c r="H16" s="20">
        <f>ROUND(E2*G16*4,2)</f>
        <v>0</v>
      </c>
    </row>
    <row r="17" spans="1:8" ht="15.75" hidden="1">
      <c r="A17" s="18"/>
      <c r="B17" s="201" t="s">
        <v>50</v>
      </c>
      <c r="C17" s="201"/>
      <c r="D17" s="201"/>
      <c r="E17" s="201"/>
      <c r="F17" s="201"/>
      <c r="G17" s="9">
        <v>0.78</v>
      </c>
      <c r="H17" s="20">
        <f>ROUND(E4*G17*4,2)</f>
        <v>0</v>
      </c>
    </row>
    <row r="18" spans="1:8" ht="18.75">
      <c r="A18" s="18" t="s">
        <v>147</v>
      </c>
      <c r="B18" s="234" t="s">
        <v>38</v>
      </c>
      <c r="C18" s="234"/>
      <c r="D18" s="234"/>
      <c r="E18" s="234"/>
      <c r="F18" s="234"/>
      <c r="G18" s="21"/>
      <c r="H18" s="20"/>
    </row>
    <row r="19" spans="1:8" ht="15.75" customHeight="1">
      <c r="A19" s="18" t="s">
        <v>148</v>
      </c>
      <c r="B19" s="7" t="s">
        <v>39</v>
      </c>
      <c r="C19" s="7"/>
      <c r="D19" s="7"/>
      <c r="E19" s="7"/>
      <c r="F19" s="5"/>
      <c r="G19" s="22"/>
      <c r="H19" s="20"/>
    </row>
    <row r="20" spans="1:8" ht="34.5" customHeight="1">
      <c r="A20" s="23"/>
      <c r="B20" s="245" t="s">
        <v>132</v>
      </c>
      <c r="C20" s="242"/>
      <c r="D20" s="242"/>
      <c r="E20" s="109" t="s">
        <v>29</v>
      </c>
      <c r="F20" s="24" t="s">
        <v>21</v>
      </c>
      <c r="G20" s="25">
        <v>1.29</v>
      </c>
      <c r="H20" s="26">
        <f>ROUND($E$8*G20*3,2)</f>
        <v>30083.06</v>
      </c>
    </row>
    <row r="21" spans="1:8" ht="18.75" customHeight="1">
      <c r="A21" s="23"/>
      <c r="B21" s="242" t="s">
        <v>16</v>
      </c>
      <c r="C21" s="242"/>
      <c r="D21" s="242"/>
      <c r="E21" s="109" t="s">
        <v>29</v>
      </c>
      <c r="F21" s="24" t="s">
        <v>17</v>
      </c>
      <c r="G21" s="25">
        <v>0.3</v>
      </c>
      <c r="H21" s="26">
        <f aca="true" t="shared" si="0" ref="H21:H36">ROUND($E$8*G21*3,2)</f>
        <v>6996.06</v>
      </c>
    </row>
    <row r="22" spans="1:8" ht="15.75">
      <c r="A22" s="23"/>
      <c r="B22" s="199" t="s">
        <v>20</v>
      </c>
      <c r="C22" s="199"/>
      <c r="D22" s="199"/>
      <c r="E22" s="102" t="s">
        <v>75</v>
      </c>
      <c r="F22" s="27" t="s">
        <v>18</v>
      </c>
      <c r="G22" s="25">
        <v>1.05</v>
      </c>
      <c r="H22" s="26">
        <f t="shared" si="0"/>
        <v>24486.21</v>
      </c>
    </row>
    <row r="23" spans="1:8" ht="31.5">
      <c r="A23" s="23"/>
      <c r="B23" s="241" t="s">
        <v>28</v>
      </c>
      <c r="C23" s="241"/>
      <c r="D23" s="241"/>
      <c r="E23" s="110" t="s">
        <v>9</v>
      </c>
      <c r="F23" s="28" t="s">
        <v>10</v>
      </c>
      <c r="G23" s="25">
        <v>0.54</v>
      </c>
      <c r="H23" s="26">
        <f t="shared" si="0"/>
        <v>12592.91</v>
      </c>
    </row>
    <row r="24" spans="1:8" ht="51">
      <c r="A24" s="23"/>
      <c r="B24" s="199" t="s">
        <v>24</v>
      </c>
      <c r="C24" s="199"/>
      <c r="D24" s="199"/>
      <c r="E24" s="102" t="s">
        <v>76</v>
      </c>
      <c r="F24" s="27" t="s">
        <v>22</v>
      </c>
      <c r="G24" s="25">
        <v>0.13</v>
      </c>
      <c r="H24" s="26">
        <f t="shared" si="0"/>
        <v>3031.63</v>
      </c>
    </row>
    <row r="25" spans="1:8" ht="15.75" customHeight="1">
      <c r="A25" s="23"/>
      <c r="B25" s="199" t="s">
        <v>11</v>
      </c>
      <c r="C25" s="199"/>
      <c r="D25" s="199"/>
      <c r="E25" s="102" t="s">
        <v>9</v>
      </c>
      <c r="F25" s="27" t="s">
        <v>12</v>
      </c>
      <c r="G25" s="25">
        <v>2.35</v>
      </c>
      <c r="H25" s="26">
        <f t="shared" si="0"/>
        <v>54802.47</v>
      </c>
    </row>
    <row r="26" spans="1:8" ht="15.75">
      <c r="A26" s="23"/>
      <c r="B26" s="199" t="s">
        <v>23</v>
      </c>
      <c r="C26" s="200"/>
      <c r="D26" s="200"/>
      <c r="E26" s="111" t="s">
        <v>13</v>
      </c>
      <c r="F26" s="21" t="s">
        <v>51</v>
      </c>
      <c r="G26" s="25">
        <v>0.05</v>
      </c>
      <c r="H26" s="26">
        <f t="shared" si="0"/>
        <v>1166.01</v>
      </c>
    </row>
    <row r="27" spans="1:8" ht="51">
      <c r="A27" s="23"/>
      <c r="B27" s="199" t="s">
        <v>41</v>
      </c>
      <c r="C27" s="199"/>
      <c r="D27" s="199"/>
      <c r="E27" s="109" t="s">
        <v>139</v>
      </c>
      <c r="F27" s="27" t="s">
        <v>44</v>
      </c>
      <c r="G27" s="25">
        <v>1.63</v>
      </c>
      <c r="H27" s="26">
        <f t="shared" si="0"/>
        <v>38011.93</v>
      </c>
    </row>
    <row r="28" spans="1:8" ht="51">
      <c r="A28" s="23"/>
      <c r="B28" s="242" t="s">
        <v>14</v>
      </c>
      <c r="C28" s="242"/>
      <c r="D28" s="242"/>
      <c r="E28" s="109" t="s">
        <v>52</v>
      </c>
      <c r="F28" s="27" t="s">
        <v>44</v>
      </c>
      <c r="G28" s="25">
        <v>0.56</v>
      </c>
      <c r="H28" s="26">
        <f t="shared" si="0"/>
        <v>13059.31</v>
      </c>
    </row>
    <row r="29" spans="1:8" ht="30.75" customHeight="1">
      <c r="A29" s="23"/>
      <c r="B29" s="199" t="s">
        <v>32</v>
      </c>
      <c r="C29" s="200"/>
      <c r="D29" s="200"/>
      <c r="E29" s="109" t="s">
        <v>31</v>
      </c>
      <c r="F29" s="27" t="s">
        <v>44</v>
      </c>
      <c r="G29" s="25">
        <f>4.38-G30-G31</f>
        <v>4.07</v>
      </c>
      <c r="H29" s="26">
        <f t="shared" si="0"/>
        <v>94913.21</v>
      </c>
    </row>
    <row r="30" spans="1:8" ht="15.75">
      <c r="A30" s="23"/>
      <c r="B30" s="199" t="s">
        <v>25</v>
      </c>
      <c r="C30" s="199"/>
      <c r="D30" s="199"/>
      <c r="E30" s="102" t="s">
        <v>9</v>
      </c>
      <c r="F30" s="27" t="s">
        <v>44</v>
      </c>
      <c r="G30" s="25">
        <v>0.31</v>
      </c>
      <c r="H30" s="26">
        <f t="shared" si="0"/>
        <v>7229.26</v>
      </c>
    </row>
    <row r="31" spans="1:8" ht="15.75">
      <c r="A31" s="23"/>
      <c r="B31" s="199" t="s">
        <v>26</v>
      </c>
      <c r="C31" s="199"/>
      <c r="D31" s="199"/>
      <c r="E31" s="102" t="s">
        <v>9</v>
      </c>
      <c r="F31" s="27" t="s">
        <v>44</v>
      </c>
      <c r="G31" s="114">
        <v>0</v>
      </c>
      <c r="H31" s="26">
        <f t="shared" si="0"/>
        <v>0</v>
      </c>
    </row>
    <row r="32" spans="1:8" ht="25.5">
      <c r="A32" s="23"/>
      <c r="B32" s="200" t="s">
        <v>19</v>
      </c>
      <c r="C32" s="200"/>
      <c r="D32" s="200"/>
      <c r="E32" s="109" t="s">
        <v>31</v>
      </c>
      <c r="F32" s="27" t="s">
        <v>44</v>
      </c>
      <c r="G32" s="25">
        <v>1.54</v>
      </c>
      <c r="H32" s="26">
        <f t="shared" si="0"/>
        <v>35913.11</v>
      </c>
    </row>
    <row r="33" spans="1:8" ht="15.75">
      <c r="A33" s="23"/>
      <c r="B33" s="214" t="s">
        <v>27</v>
      </c>
      <c r="C33" s="214"/>
      <c r="D33" s="214"/>
      <c r="E33" s="6"/>
      <c r="F33" s="27"/>
      <c r="G33" s="8">
        <f>SUM(G20:G32)</f>
        <v>13.82</v>
      </c>
      <c r="H33" s="26">
        <f t="shared" si="0"/>
        <v>322285.16</v>
      </c>
    </row>
    <row r="34" spans="1:8" ht="15.75">
      <c r="A34" s="18" t="s">
        <v>149</v>
      </c>
      <c r="B34" s="201" t="s">
        <v>33</v>
      </c>
      <c r="C34" s="200"/>
      <c r="D34" s="200"/>
      <c r="E34" s="66" t="s">
        <v>140</v>
      </c>
      <c r="F34" s="13" t="s">
        <v>53</v>
      </c>
      <c r="G34" s="25">
        <v>1.54</v>
      </c>
      <c r="H34" s="26">
        <f t="shared" si="0"/>
        <v>35913.11</v>
      </c>
    </row>
    <row r="35" spans="1:8" ht="15.75">
      <c r="A35" s="18" t="s">
        <v>150</v>
      </c>
      <c r="B35" s="254" t="s">
        <v>40</v>
      </c>
      <c r="C35" s="254"/>
      <c r="D35" s="254"/>
      <c r="E35" s="254"/>
      <c r="F35" s="254"/>
      <c r="G35" s="8">
        <f>SUM(G33:G34)</f>
        <v>15.36</v>
      </c>
      <c r="H35" s="26">
        <f t="shared" si="0"/>
        <v>358198.27</v>
      </c>
    </row>
    <row r="36" spans="1:8" ht="16.5" thickBot="1">
      <c r="A36" s="115" t="s">
        <v>151</v>
      </c>
      <c r="B36" s="255" t="s">
        <v>54</v>
      </c>
      <c r="C36" s="256"/>
      <c r="D36" s="257"/>
      <c r="E36" s="116"/>
      <c r="F36" s="33" t="s">
        <v>53</v>
      </c>
      <c r="G36" s="34">
        <v>0</v>
      </c>
      <c r="H36" s="117">
        <f t="shared" si="0"/>
        <v>0</v>
      </c>
    </row>
    <row r="37" spans="1:8" ht="12" customHeight="1" thickBot="1">
      <c r="A37" s="118"/>
      <c r="B37" s="247"/>
      <c r="C37" s="248"/>
      <c r="D37" s="249"/>
      <c r="E37" s="119"/>
      <c r="F37" s="120"/>
      <c r="G37" s="121"/>
      <c r="H37" s="128"/>
    </row>
    <row r="38" spans="1:8" ht="45" customHeight="1" thickBot="1">
      <c r="A38" s="122" t="s">
        <v>152</v>
      </c>
      <c r="B38" s="250" t="s">
        <v>153</v>
      </c>
      <c r="C38" s="251"/>
      <c r="D38" s="252"/>
      <c r="E38" s="123" t="s">
        <v>154</v>
      </c>
      <c r="F38" s="124" t="s">
        <v>155</v>
      </c>
      <c r="G38" s="125">
        <v>1000</v>
      </c>
      <c r="H38" s="129">
        <f>ROUND(G38*3,0)</f>
        <v>3000</v>
      </c>
    </row>
    <row r="39" spans="2:7" ht="19.5" customHeight="1">
      <c r="B39" s="253" t="s">
        <v>141</v>
      </c>
      <c r="C39" s="253"/>
      <c r="D39" s="253"/>
      <c r="E39" s="253"/>
      <c r="F39" s="41"/>
      <c r="G39" s="42"/>
    </row>
    <row r="40" spans="2:7" ht="15.75">
      <c r="B40" s="130"/>
      <c r="C40" s="130"/>
      <c r="D40" s="130"/>
      <c r="E40" s="130"/>
      <c r="F40" s="41"/>
      <c r="G40" s="42"/>
    </row>
    <row r="41" spans="2:8" ht="15.75">
      <c r="B41" s="112" t="s">
        <v>142</v>
      </c>
      <c r="C41" s="112"/>
      <c r="D41" s="112"/>
      <c r="E41" s="12" t="s">
        <v>143</v>
      </c>
      <c r="F41" s="12" t="s">
        <v>56</v>
      </c>
      <c r="G41" s="41"/>
      <c r="H41" s="42"/>
    </row>
    <row r="42" spans="7:8" ht="15.75">
      <c r="G42" s="41"/>
      <c r="H42" s="42"/>
    </row>
    <row r="43" spans="2:8" ht="15.75">
      <c r="B43" s="112" t="s">
        <v>144</v>
      </c>
      <c r="C43" s="112"/>
      <c r="D43" s="112"/>
      <c r="E43" t="s">
        <v>145</v>
      </c>
      <c r="F43" t="s">
        <v>57</v>
      </c>
      <c r="G43" s="41"/>
      <c r="H43" s="42"/>
    </row>
    <row r="44" spans="7:8" ht="15.75" customHeight="1">
      <c r="G44" s="41"/>
      <c r="H44" s="42"/>
    </row>
  </sheetData>
  <sheetProtection/>
  <mergeCells count="30">
    <mergeCell ref="C1:H1"/>
    <mergeCell ref="A4:H4"/>
    <mergeCell ref="B6:H6"/>
    <mergeCell ref="B13:D13"/>
    <mergeCell ref="B12:D12"/>
    <mergeCell ref="B26:D26"/>
    <mergeCell ref="B37:D37"/>
    <mergeCell ref="B38:D38"/>
    <mergeCell ref="B39:E39"/>
    <mergeCell ref="B33:D33"/>
    <mergeCell ref="B34:D34"/>
    <mergeCell ref="B35:F35"/>
    <mergeCell ref="B36:D36"/>
    <mergeCell ref="B29:D29"/>
    <mergeCell ref="B31:D31"/>
    <mergeCell ref="B32:D32"/>
    <mergeCell ref="B30:D30"/>
    <mergeCell ref="B27:D27"/>
    <mergeCell ref="B28:D28"/>
    <mergeCell ref="B23:D23"/>
    <mergeCell ref="B24:D24"/>
    <mergeCell ref="B25:D25"/>
    <mergeCell ref="B17:F17"/>
    <mergeCell ref="B18:F18"/>
    <mergeCell ref="B20:D20"/>
    <mergeCell ref="B21:D21"/>
    <mergeCell ref="B14:F14"/>
    <mergeCell ref="B15:F15"/>
    <mergeCell ref="B16:F16"/>
    <mergeCell ref="B22:D22"/>
  </mergeCells>
  <printOptions horizontalCentered="1"/>
  <pageMargins left="0.98" right="0.1968503937007874" top="0.3937007874015748" bottom="0.3937007874015748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4">
      <selection activeCell="E44" sqref="E44"/>
    </sheetView>
  </sheetViews>
  <sheetFormatPr defaultColWidth="9.00390625" defaultRowHeight="15.75"/>
  <cols>
    <col min="1" max="1" width="7.75390625" style="0" customWidth="1"/>
    <col min="2" max="2" width="28.125" style="0" customWidth="1"/>
    <col min="3" max="3" width="3.50390625" style="0" customWidth="1"/>
    <col min="4" max="4" width="19.0039062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238" t="s">
        <v>173</v>
      </c>
      <c r="B1" s="238"/>
      <c r="C1" s="238"/>
      <c r="D1" s="238"/>
      <c r="E1" s="238"/>
      <c r="F1" s="238"/>
      <c r="G1" s="238"/>
      <c r="H1" s="238"/>
      <c r="I1" s="238"/>
    </row>
    <row r="2" spans="1:9" ht="20.25">
      <c r="A2" s="131"/>
      <c r="B2" s="131"/>
      <c r="C2" s="131"/>
      <c r="D2" s="131"/>
      <c r="E2" s="131"/>
      <c r="F2" s="131"/>
      <c r="G2" s="131"/>
      <c r="H2" s="131"/>
      <c r="I2" s="131"/>
    </row>
    <row r="3" spans="1:9" ht="20.25">
      <c r="A3" s="131"/>
      <c r="B3" s="131"/>
      <c r="C3" s="131"/>
      <c r="D3" s="131"/>
      <c r="E3" s="131"/>
      <c r="F3" s="131"/>
      <c r="G3" s="131"/>
      <c r="H3" s="131"/>
      <c r="I3" s="131"/>
    </row>
    <row r="4" spans="1:6" ht="37.5">
      <c r="A4" s="162" t="s">
        <v>43</v>
      </c>
      <c r="B4" s="161" t="s">
        <v>174</v>
      </c>
      <c r="C4" s="2"/>
      <c r="D4" s="133" t="s">
        <v>160</v>
      </c>
      <c r="E4" s="4">
        <v>7773.4</v>
      </c>
      <c r="F4" s="2"/>
    </row>
    <row r="5" spans="2:6" ht="15.75">
      <c r="B5" s="3" t="s">
        <v>1</v>
      </c>
      <c r="C5" s="11">
        <v>10</v>
      </c>
      <c r="D5" s="2" t="s">
        <v>2</v>
      </c>
      <c r="E5" s="4">
        <v>140</v>
      </c>
      <c r="F5" s="2"/>
    </row>
    <row r="6" spans="2:8" ht="15.75">
      <c r="B6" s="3" t="s">
        <v>3</v>
      </c>
      <c r="C6" s="4">
        <v>4</v>
      </c>
      <c r="D6" s="2" t="s">
        <v>4</v>
      </c>
      <c r="E6" s="2" t="s">
        <v>45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15</v>
      </c>
      <c r="F7" s="2"/>
      <c r="G7" s="2"/>
      <c r="H7" s="2"/>
    </row>
    <row r="8" spans="1:9" ht="89.25">
      <c r="A8" s="134" t="s">
        <v>37</v>
      </c>
      <c r="B8" s="276" t="s">
        <v>62</v>
      </c>
      <c r="C8" s="277"/>
      <c r="D8" s="278"/>
      <c r="E8" s="15" t="s">
        <v>6</v>
      </c>
      <c r="F8" s="15" t="s">
        <v>7</v>
      </c>
      <c r="G8" s="135" t="s">
        <v>161</v>
      </c>
      <c r="H8" s="135" t="s">
        <v>162</v>
      </c>
      <c r="I8" s="136" t="s">
        <v>163</v>
      </c>
    </row>
    <row r="9" spans="1:9" ht="25.5">
      <c r="A9" s="105">
        <v>1</v>
      </c>
      <c r="B9" s="240">
        <v>2</v>
      </c>
      <c r="C9" s="207"/>
      <c r="D9" s="260"/>
      <c r="E9" s="106">
        <v>3</v>
      </c>
      <c r="F9" s="106">
        <v>3</v>
      </c>
      <c r="G9" s="106">
        <v>4</v>
      </c>
      <c r="H9" s="106">
        <v>5</v>
      </c>
      <c r="I9" s="108" t="s">
        <v>175</v>
      </c>
    </row>
    <row r="10" spans="1:9" ht="15.75" customHeight="1">
      <c r="A10" s="18">
        <v>1</v>
      </c>
      <c r="B10" s="244" t="s">
        <v>48</v>
      </c>
      <c r="C10" s="244"/>
      <c r="D10" s="244"/>
      <c r="E10" s="244"/>
      <c r="F10" s="244"/>
      <c r="G10" s="19"/>
      <c r="H10" s="137"/>
      <c r="I10" s="20"/>
    </row>
    <row r="11" spans="1:9" ht="15.75" customHeight="1">
      <c r="A11" s="18"/>
      <c r="B11" s="233" t="s">
        <v>164</v>
      </c>
      <c r="C11" s="233"/>
      <c r="D11" s="233"/>
      <c r="E11" s="233"/>
      <c r="F11" s="233"/>
      <c r="G11" s="10">
        <f>G32</f>
        <v>14.370000000000001</v>
      </c>
      <c r="H11" s="10">
        <f>H32</f>
        <v>15.300000000000002</v>
      </c>
      <c r="I11" s="26">
        <f>ROUND($E$4*G11*6,0)+ROUND($E$4*H11*6,0)</f>
        <v>1383821</v>
      </c>
    </row>
    <row r="12" spans="1:9" ht="15.75" customHeight="1">
      <c r="A12" s="18"/>
      <c r="B12" s="201" t="s">
        <v>50</v>
      </c>
      <c r="C12" s="201"/>
      <c r="D12" s="201"/>
      <c r="E12" s="201"/>
      <c r="F12" s="201"/>
      <c r="G12" s="10">
        <f>G33</f>
        <v>0</v>
      </c>
      <c r="H12" s="10">
        <f>H33</f>
        <v>0</v>
      </c>
      <c r="I12" s="26">
        <f>ROUND($E$4*G12*6,0)+ROUND($E$4*H12*6,0)</f>
        <v>0</v>
      </c>
    </row>
    <row r="13" spans="1:9" ht="15.75" customHeight="1">
      <c r="A13" s="18">
        <v>2</v>
      </c>
      <c r="B13" s="270" t="s">
        <v>38</v>
      </c>
      <c r="C13" s="271"/>
      <c r="D13" s="271"/>
      <c r="E13" s="271"/>
      <c r="F13" s="272"/>
      <c r="G13" s="21"/>
      <c r="H13" s="132"/>
      <c r="I13" s="26"/>
    </row>
    <row r="14" spans="1:9" ht="18.75" customHeight="1">
      <c r="A14" s="18" t="s">
        <v>148</v>
      </c>
      <c r="B14" s="273" t="s">
        <v>39</v>
      </c>
      <c r="C14" s="274"/>
      <c r="D14" s="275"/>
      <c r="E14" s="138"/>
      <c r="F14" s="139"/>
      <c r="G14" s="140"/>
      <c r="H14" s="141"/>
      <c r="I14" s="26"/>
    </row>
    <row r="15" spans="1:9" ht="29.25" customHeight="1">
      <c r="A15" s="23"/>
      <c r="B15" s="245" t="s">
        <v>165</v>
      </c>
      <c r="C15" s="242"/>
      <c r="D15" s="242"/>
      <c r="E15" s="109" t="s">
        <v>29</v>
      </c>
      <c r="F15" s="24" t="s">
        <v>21</v>
      </c>
      <c r="G15" s="25">
        <v>1.29</v>
      </c>
      <c r="H15" s="142">
        <v>1.37</v>
      </c>
      <c r="I15" s="26">
        <f>ROUND($E$4*G15*6,0)+ROUND($E$4*H15*6,0)</f>
        <v>124063</v>
      </c>
    </row>
    <row r="16" spans="1:10" ht="15.75" customHeight="1">
      <c r="A16" s="23"/>
      <c r="B16" s="242" t="s">
        <v>16</v>
      </c>
      <c r="C16" s="242"/>
      <c r="D16" s="242"/>
      <c r="E16" s="109" t="s">
        <v>29</v>
      </c>
      <c r="F16" s="24" t="s">
        <v>17</v>
      </c>
      <c r="G16" s="25">
        <v>0.3</v>
      </c>
      <c r="H16" s="142">
        <v>0.32</v>
      </c>
      <c r="I16" s="26">
        <f aca="true" t="shared" si="0" ref="I16:I33">ROUND($E$4*G16*6,0)+ROUND($E$4*H16*6,0)</f>
        <v>28917</v>
      </c>
      <c r="J16" s="143"/>
    </row>
    <row r="17" spans="1:9" ht="18.75" customHeight="1">
      <c r="A17" s="23"/>
      <c r="B17" s="199" t="s">
        <v>166</v>
      </c>
      <c r="C17" s="199"/>
      <c r="D17" s="199"/>
      <c r="E17" s="102" t="s">
        <v>75</v>
      </c>
      <c r="F17" s="27" t="s">
        <v>18</v>
      </c>
      <c r="G17" s="25">
        <v>0.06</v>
      </c>
      <c r="H17" s="142">
        <v>0.06</v>
      </c>
      <c r="I17" s="26">
        <f t="shared" si="0"/>
        <v>5596</v>
      </c>
    </row>
    <row r="18" spans="1:9" ht="15.75" customHeight="1">
      <c r="A18" s="23"/>
      <c r="B18" s="241" t="s">
        <v>28</v>
      </c>
      <c r="C18" s="241"/>
      <c r="D18" s="241"/>
      <c r="E18" s="110" t="s">
        <v>9</v>
      </c>
      <c r="F18" s="28" t="s">
        <v>10</v>
      </c>
      <c r="G18" s="25">
        <v>0.54</v>
      </c>
      <c r="H18" s="142">
        <v>0.58</v>
      </c>
      <c r="I18" s="26">
        <f t="shared" si="0"/>
        <v>52237</v>
      </c>
    </row>
    <row r="19" spans="1:9" ht="51" customHeight="1">
      <c r="A19" s="23"/>
      <c r="B19" s="199" t="s">
        <v>24</v>
      </c>
      <c r="C19" s="199"/>
      <c r="D19" s="199"/>
      <c r="E19" s="102" t="s">
        <v>76</v>
      </c>
      <c r="F19" s="27" t="s">
        <v>22</v>
      </c>
      <c r="G19" s="25">
        <v>0.13</v>
      </c>
      <c r="H19" s="142">
        <v>0.14</v>
      </c>
      <c r="I19" s="26">
        <f t="shared" si="0"/>
        <v>12593</v>
      </c>
    </row>
    <row r="20" spans="1:9" ht="37.5" customHeight="1">
      <c r="A20" s="23"/>
      <c r="B20" s="199" t="s">
        <v>11</v>
      </c>
      <c r="C20" s="199"/>
      <c r="D20" s="199"/>
      <c r="E20" s="102" t="s">
        <v>9</v>
      </c>
      <c r="F20" s="27" t="s">
        <v>12</v>
      </c>
      <c r="G20" s="25">
        <v>2.35</v>
      </c>
      <c r="H20" s="142">
        <v>2.5</v>
      </c>
      <c r="I20" s="26">
        <f t="shared" si="0"/>
        <v>226206</v>
      </c>
    </row>
    <row r="21" spans="1:9" ht="21" customHeight="1">
      <c r="A21" s="23"/>
      <c r="B21" s="199" t="s">
        <v>23</v>
      </c>
      <c r="C21" s="200"/>
      <c r="D21" s="200"/>
      <c r="E21" s="111" t="s">
        <v>13</v>
      </c>
      <c r="F21" s="21" t="s">
        <v>51</v>
      </c>
      <c r="G21" s="25">
        <v>0.05</v>
      </c>
      <c r="H21" s="142">
        <v>0.05</v>
      </c>
      <c r="I21" s="26">
        <f t="shared" si="0"/>
        <v>4664</v>
      </c>
    </row>
    <row r="22" spans="1:9" ht="51">
      <c r="A22" s="23"/>
      <c r="B22" s="199" t="s">
        <v>41</v>
      </c>
      <c r="C22" s="199"/>
      <c r="D22" s="199"/>
      <c r="E22" s="109" t="s">
        <v>139</v>
      </c>
      <c r="F22" s="27" t="s">
        <v>44</v>
      </c>
      <c r="G22" s="25">
        <v>1.63</v>
      </c>
      <c r="H22" s="142">
        <v>1.74</v>
      </c>
      <c r="I22" s="26">
        <f t="shared" si="0"/>
        <v>157178</v>
      </c>
    </row>
    <row r="23" spans="1:9" ht="55.5" customHeight="1">
      <c r="A23" s="23"/>
      <c r="B23" s="242" t="s">
        <v>14</v>
      </c>
      <c r="C23" s="242"/>
      <c r="D23" s="242"/>
      <c r="E23" s="109" t="s">
        <v>52</v>
      </c>
      <c r="F23" s="27" t="s">
        <v>44</v>
      </c>
      <c r="G23" s="25">
        <v>0.56</v>
      </c>
      <c r="H23" s="142">
        <v>0.6</v>
      </c>
      <c r="I23" s="26">
        <f t="shared" si="0"/>
        <v>54103</v>
      </c>
    </row>
    <row r="24" spans="1:9" ht="28.5" customHeight="1">
      <c r="A24" s="23"/>
      <c r="B24" s="199" t="s">
        <v>32</v>
      </c>
      <c r="C24" s="200"/>
      <c r="D24" s="200"/>
      <c r="E24" s="109" t="s">
        <v>31</v>
      </c>
      <c r="F24" s="27" t="s">
        <v>44</v>
      </c>
      <c r="G24" s="25">
        <f>4.38-G25-G26</f>
        <v>4.07</v>
      </c>
      <c r="H24" s="25">
        <f>4.66-H25-H26</f>
        <v>4.33</v>
      </c>
      <c r="I24" s="26">
        <f t="shared" si="0"/>
        <v>391779</v>
      </c>
    </row>
    <row r="25" spans="1:9" ht="15.75" customHeight="1">
      <c r="A25" s="23"/>
      <c r="B25" s="199" t="s">
        <v>167</v>
      </c>
      <c r="C25" s="199"/>
      <c r="D25" s="199"/>
      <c r="E25" s="102" t="s">
        <v>9</v>
      </c>
      <c r="F25" s="27" t="s">
        <v>44</v>
      </c>
      <c r="G25" s="25">
        <v>0.31</v>
      </c>
      <c r="H25" s="142">
        <v>0.33</v>
      </c>
      <c r="I25" s="26">
        <f t="shared" si="0"/>
        <v>29850</v>
      </c>
    </row>
    <row r="26" spans="1:9" ht="21.75" customHeight="1">
      <c r="A26" s="23"/>
      <c r="B26" s="199" t="s">
        <v>79</v>
      </c>
      <c r="C26" s="199"/>
      <c r="D26" s="199"/>
      <c r="E26" s="102" t="s">
        <v>9</v>
      </c>
      <c r="F26" s="27" t="s">
        <v>44</v>
      </c>
      <c r="G26" s="114">
        <v>0</v>
      </c>
      <c r="H26" s="160">
        <v>0</v>
      </c>
      <c r="I26" s="26">
        <f t="shared" si="0"/>
        <v>0</v>
      </c>
    </row>
    <row r="27" spans="1:9" ht="29.25" customHeight="1">
      <c r="A27" s="23"/>
      <c r="B27" s="200" t="s">
        <v>168</v>
      </c>
      <c r="C27" s="200"/>
      <c r="D27" s="200"/>
      <c r="E27" s="109" t="s">
        <v>31</v>
      </c>
      <c r="F27" s="27" t="s">
        <v>44</v>
      </c>
      <c r="G27" s="25">
        <v>1.54</v>
      </c>
      <c r="H27" s="142">
        <v>1.64</v>
      </c>
      <c r="I27" s="26">
        <f t="shared" si="0"/>
        <v>148316</v>
      </c>
    </row>
    <row r="28" spans="1:9" ht="15.75" customHeight="1" hidden="1">
      <c r="A28" s="9"/>
      <c r="B28" s="225" t="s">
        <v>80</v>
      </c>
      <c r="C28" s="226"/>
      <c r="D28" s="227"/>
      <c r="E28" s="102" t="s">
        <v>9</v>
      </c>
      <c r="F28" s="27"/>
      <c r="G28" s="8"/>
      <c r="H28" s="142"/>
      <c r="I28" s="26">
        <f t="shared" si="0"/>
        <v>0</v>
      </c>
    </row>
    <row r="29" spans="1:9" ht="34.5" customHeight="1" hidden="1">
      <c r="A29" s="9"/>
      <c r="B29" s="225" t="s">
        <v>81</v>
      </c>
      <c r="C29" s="226"/>
      <c r="D29" s="227"/>
      <c r="E29" s="109" t="s">
        <v>31</v>
      </c>
      <c r="F29" s="27"/>
      <c r="G29" s="25"/>
      <c r="H29" s="142"/>
      <c r="I29" s="26">
        <f t="shared" si="0"/>
        <v>0</v>
      </c>
    </row>
    <row r="30" spans="1:9" ht="15.75" customHeight="1">
      <c r="A30" s="23"/>
      <c r="B30" s="266" t="s">
        <v>27</v>
      </c>
      <c r="C30" s="267"/>
      <c r="D30" s="268"/>
      <c r="E30" s="145"/>
      <c r="F30" s="27"/>
      <c r="G30" s="8">
        <f>SUM(G15:G29)</f>
        <v>12.830000000000002</v>
      </c>
      <c r="H30" s="144">
        <f>SUM(H15:H29)</f>
        <v>13.660000000000002</v>
      </c>
      <c r="I30" s="26">
        <f t="shared" si="0"/>
        <v>1235504</v>
      </c>
    </row>
    <row r="31" spans="1:9" ht="21" customHeight="1">
      <c r="A31" s="18" t="s">
        <v>149</v>
      </c>
      <c r="B31" s="215" t="s">
        <v>169</v>
      </c>
      <c r="C31" s="216"/>
      <c r="D31" s="216"/>
      <c r="E31" s="66" t="s">
        <v>140</v>
      </c>
      <c r="F31" s="13" t="s">
        <v>53</v>
      </c>
      <c r="G31" s="25">
        <v>1.54</v>
      </c>
      <c r="H31" s="159">
        <v>1.64</v>
      </c>
      <c r="I31" s="26">
        <f t="shared" si="0"/>
        <v>148316</v>
      </c>
    </row>
    <row r="32" spans="1:9" ht="15.75" customHeight="1">
      <c r="A32" s="18" t="s">
        <v>150</v>
      </c>
      <c r="B32" s="269" t="s">
        <v>170</v>
      </c>
      <c r="C32" s="269"/>
      <c r="D32" s="269"/>
      <c r="E32" s="269"/>
      <c r="F32" s="269"/>
      <c r="G32" s="8">
        <f>SUM(G30:G31)</f>
        <v>14.370000000000001</v>
      </c>
      <c r="H32" s="144">
        <f>SUM(H30:H31)</f>
        <v>15.300000000000002</v>
      </c>
      <c r="I32" s="26">
        <f t="shared" si="0"/>
        <v>1383821</v>
      </c>
    </row>
    <row r="33" spans="1:9" ht="24" customHeight="1" thickBot="1">
      <c r="A33" s="115" t="s">
        <v>151</v>
      </c>
      <c r="B33" s="262" t="s">
        <v>54</v>
      </c>
      <c r="C33" s="263"/>
      <c r="D33" s="264"/>
      <c r="E33" s="116" t="s">
        <v>140</v>
      </c>
      <c r="F33" s="146" t="s">
        <v>53</v>
      </c>
      <c r="G33" s="34">
        <v>0</v>
      </c>
      <c r="H33" s="158">
        <v>0</v>
      </c>
      <c r="I33" s="117">
        <f t="shared" si="0"/>
        <v>0</v>
      </c>
    </row>
    <row r="34" spans="1:9" ht="6" customHeight="1" thickBot="1">
      <c r="A34" s="150"/>
      <c r="B34" s="151"/>
      <c r="C34" s="152"/>
      <c r="D34" s="153"/>
      <c r="E34" s="154"/>
      <c r="F34" s="155"/>
      <c r="G34" s="156"/>
      <c r="H34" s="157"/>
      <c r="I34" s="128"/>
    </row>
    <row r="35" spans="1:9" ht="45" customHeight="1" thickBot="1">
      <c r="A35" s="122" t="s">
        <v>152</v>
      </c>
      <c r="B35" s="250" t="s">
        <v>153</v>
      </c>
      <c r="C35" s="251"/>
      <c r="D35" s="252"/>
      <c r="E35" s="123" t="s">
        <v>154</v>
      </c>
      <c r="F35" s="124" t="s">
        <v>155</v>
      </c>
      <c r="G35" s="125">
        <v>1000</v>
      </c>
      <c r="H35" s="148">
        <v>1000</v>
      </c>
      <c r="I35" s="149">
        <f>ROUND(G35*5,0)+ROUND(H35*3,0)</f>
        <v>8000</v>
      </c>
    </row>
    <row r="36" spans="1:9" ht="44.25" customHeight="1">
      <c r="A36" s="265" t="s">
        <v>171</v>
      </c>
      <c r="B36" s="265"/>
      <c r="C36" s="265"/>
      <c r="D36" s="265"/>
      <c r="E36" s="265"/>
      <c r="G36" s="41"/>
      <c r="H36" s="41"/>
      <c r="I36" s="42"/>
    </row>
    <row r="37" spans="2:9" ht="24.75" customHeight="1">
      <c r="B37" s="147"/>
      <c r="C37" s="147"/>
      <c r="D37" s="147"/>
      <c r="E37" s="147"/>
      <c r="G37" s="41"/>
      <c r="H37" s="41"/>
      <c r="I37" s="42"/>
    </row>
    <row r="38" spans="1:9" ht="15.75" customHeight="1">
      <c r="A38" s="87" t="s">
        <v>172</v>
      </c>
      <c r="B38" s="87"/>
      <c r="C38" s="87"/>
      <c r="D38" s="12"/>
      <c r="G38" s="41"/>
      <c r="H38" s="41"/>
      <c r="I38" s="42"/>
    </row>
  </sheetData>
  <sheetProtection/>
  <mergeCells count="29">
    <mergeCell ref="B11:F11"/>
    <mergeCell ref="B12:F12"/>
    <mergeCell ref="A1:I1"/>
    <mergeCell ref="B8:D8"/>
    <mergeCell ref="B9:D9"/>
    <mergeCell ref="B10:F10"/>
    <mergeCell ref="B17:D17"/>
    <mergeCell ref="B18:D18"/>
    <mergeCell ref="B19:D19"/>
    <mergeCell ref="B20:D20"/>
    <mergeCell ref="B13:F13"/>
    <mergeCell ref="B15:D15"/>
    <mergeCell ref="B14:D14"/>
    <mergeCell ref="B16:D16"/>
    <mergeCell ref="A36:E36"/>
    <mergeCell ref="B29:D29"/>
    <mergeCell ref="B24:D24"/>
    <mergeCell ref="B25:D25"/>
    <mergeCell ref="B26:D26"/>
    <mergeCell ref="B27:D27"/>
    <mergeCell ref="B30:D30"/>
    <mergeCell ref="B31:D31"/>
    <mergeCell ref="B28:D28"/>
    <mergeCell ref="B32:F32"/>
    <mergeCell ref="B33:D33"/>
    <mergeCell ref="B35:D35"/>
    <mergeCell ref="B21:D21"/>
    <mergeCell ref="B22:D22"/>
    <mergeCell ref="B23:D23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A1" sqref="A1:S1"/>
    </sheetView>
  </sheetViews>
  <sheetFormatPr defaultColWidth="9.00390625" defaultRowHeight="15.75"/>
  <cols>
    <col min="1" max="1" width="10.75390625" style="0" customWidth="1"/>
    <col min="2" max="2" width="6.125" style="0" customWidth="1"/>
    <col min="3" max="3" width="9.875" style="0" bestFit="1" customWidth="1"/>
    <col min="4" max="4" width="8.50390625" style="0" bestFit="1" customWidth="1"/>
    <col min="5" max="6" width="9.875" style="0" bestFit="1" customWidth="1"/>
    <col min="7" max="7" width="8.50390625" style="0" bestFit="1" customWidth="1"/>
    <col min="8" max="8" width="9.875" style="0" bestFit="1" customWidth="1"/>
    <col min="9" max="9" width="11.625" style="0" customWidth="1"/>
    <col min="10" max="10" width="7.00390625" style="0" bestFit="1" customWidth="1"/>
    <col min="11" max="11" width="8.875" style="0" bestFit="1" customWidth="1"/>
    <col min="12" max="13" width="11.875" style="0" customWidth="1"/>
    <col min="14" max="14" width="9.875" style="0" bestFit="1" customWidth="1"/>
    <col min="15" max="15" width="11.375" style="0" bestFit="1" customWidth="1"/>
    <col min="16" max="16" width="10.25390625" style="0" customWidth="1"/>
    <col min="17" max="17" width="8.625" style="0" customWidth="1"/>
    <col min="18" max="18" width="11.375" style="0" customWidth="1"/>
    <col min="19" max="19" width="12.75390625" style="98" customWidth="1"/>
  </cols>
  <sheetData>
    <row r="1" spans="1:19" ht="104.25" customHeight="1">
      <c r="A1" s="284" t="s">
        <v>136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</row>
    <row r="2" spans="1:19" ht="15.75" customHeight="1">
      <c r="A2" s="244" t="s">
        <v>90</v>
      </c>
      <c r="B2" s="283" t="s">
        <v>91</v>
      </c>
      <c r="C2" s="283" t="s">
        <v>92</v>
      </c>
      <c r="D2" s="283"/>
      <c r="E2" s="283"/>
      <c r="F2" s="283"/>
      <c r="G2" s="283"/>
      <c r="H2" s="283"/>
      <c r="I2" s="283"/>
      <c r="J2" s="285" t="s">
        <v>93</v>
      </c>
      <c r="K2" s="285"/>
      <c r="L2" s="285"/>
      <c r="M2" s="286" t="s">
        <v>94</v>
      </c>
      <c r="N2" s="283" t="s">
        <v>95</v>
      </c>
      <c r="O2" s="283"/>
      <c r="P2" s="283"/>
      <c r="Q2" s="283"/>
      <c r="R2" s="283"/>
      <c r="S2" s="205" t="s">
        <v>128</v>
      </c>
    </row>
    <row r="3" spans="1:19" ht="15.75">
      <c r="A3" s="283"/>
      <c r="B3" s="283"/>
      <c r="C3" s="240" t="s">
        <v>96</v>
      </c>
      <c r="D3" s="207"/>
      <c r="E3" s="208"/>
      <c r="F3" s="240" t="s">
        <v>97</v>
      </c>
      <c r="G3" s="207"/>
      <c r="H3" s="208"/>
      <c r="I3" s="244" t="s">
        <v>98</v>
      </c>
      <c r="J3" s="279" t="s">
        <v>99</v>
      </c>
      <c r="K3" s="281" t="s">
        <v>100</v>
      </c>
      <c r="L3" s="279" t="s">
        <v>101</v>
      </c>
      <c r="M3" s="287"/>
      <c r="N3" s="244" t="s">
        <v>102</v>
      </c>
      <c r="O3" s="283" t="s">
        <v>103</v>
      </c>
      <c r="P3" s="283" t="s">
        <v>104</v>
      </c>
      <c r="Q3" s="283" t="s">
        <v>105</v>
      </c>
      <c r="R3" s="283" t="s">
        <v>106</v>
      </c>
      <c r="S3" s="205"/>
    </row>
    <row r="4" spans="1:19" ht="47.25" customHeight="1">
      <c r="A4" s="283"/>
      <c r="B4" s="283"/>
      <c r="C4" s="43" t="s">
        <v>107</v>
      </c>
      <c r="D4" s="9" t="s">
        <v>105</v>
      </c>
      <c r="E4" s="9" t="s">
        <v>106</v>
      </c>
      <c r="F4" s="43" t="s">
        <v>107</v>
      </c>
      <c r="G4" s="9" t="s">
        <v>105</v>
      </c>
      <c r="H4" s="9" t="s">
        <v>106</v>
      </c>
      <c r="I4" s="244"/>
      <c r="J4" s="280"/>
      <c r="K4" s="282"/>
      <c r="L4" s="280"/>
      <c r="M4" s="288"/>
      <c r="N4" s="283"/>
      <c r="O4" s="283"/>
      <c r="P4" s="283"/>
      <c r="Q4" s="283"/>
      <c r="R4" s="283"/>
      <c r="S4" s="205"/>
    </row>
    <row r="5" spans="1:19" ht="31.5">
      <c r="A5" s="9">
        <v>1</v>
      </c>
      <c r="B5" s="9">
        <v>2</v>
      </c>
      <c r="C5" s="43">
        <v>3</v>
      </c>
      <c r="D5" s="9">
        <v>4</v>
      </c>
      <c r="E5" s="9" t="s">
        <v>108</v>
      </c>
      <c r="F5" s="43">
        <v>6</v>
      </c>
      <c r="G5" s="9">
        <v>7</v>
      </c>
      <c r="H5" s="9" t="s">
        <v>109</v>
      </c>
      <c r="I5" s="43" t="s">
        <v>110</v>
      </c>
      <c r="J5" s="9">
        <v>10</v>
      </c>
      <c r="K5" s="9">
        <v>11</v>
      </c>
      <c r="L5" s="43">
        <v>12</v>
      </c>
      <c r="M5" s="43" t="s">
        <v>111</v>
      </c>
      <c r="N5" s="9">
        <v>14</v>
      </c>
      <c r="O5" s="43">
        <v>15</v>
      </c>
      <c r="P5" s="9">
        <v>16</v>
      </c>
      <c r="Q5" s="9">
        <v>17</v>
      </c>
      <c r="R5" s="43" t="s">
        <v>112</v>
      </c>
      <c r="S5" s="96" t="s">
        <v>113</v>
      </c>
    </row>
    <row r="6" spans="1:19" ht="15.75">
      <c r="A6" s="55"/>
      <c r="B6" s="90" t="s">
        <v>114</v>
      </c>
      <c r="C6" s="55">
        <v>0</v>
      </c>
      <c r="D6" s="55">
        <v>0</v>
      </c>
      <c r="E6" s="55">
        <f>SUM(C6:D6)</f>
        <v>0</v>
      </c>
      <c r="F6" s="55">
        <v>0</v>
      </c>
      <c r="G6" s="55">
        <v>0</v>
      </c>
      <c r="H6" s="55">
        <f>SUM(F6:G6)</f>
        <v>0</v>
      </c>
      <c r="I6" s="91">
        <f>E6-H6</f>
        <v>0</v>
      </c>
      <c r="J6" s="55">
        <v>0</v>
      </c>
      <c r="K6" s="55">
        <v>0</v>
      </c>
      <c r="L6" s="55">
        <v>0</v>
      </c>
      <c r="M6" s="55">
        <f>H6+J6+K6+L6</f>
        <v>0</v>
      </c>
      <c r="N6" s="55">
        <v>0</v>
      </c>
      <c r="O6" s="55">
        <v>0</v>
      </c>
      <c r="P6" s="55">
        <v>0</v>
      </c>
      <c r="Q6" s="91">
        <v>0</v>
      </c>
      <c r="R6" s="55">
        <f>SUM(N6:Q6)</f>
        <v>0</v>
      </c>
      <c r="S6" s="95">
        <f>M6-R6</f>
        <v>0</v>
      </c>
    </row>
    <row r="7" spans="1:19" ht="15.75">
      <c r="A7" s="55">
        <f>S6</f>
        <v>0</v>
      </c>
      <c r="B7" s="90" t="s">
        <v>115</v>
      </c>
      <c r="C7" s="55">
        <v>0</v>
      </c>
      <c r="D7" s="55">
        <v>0</v>
      </c>
      <c r="E7" s="55">
        <f>SUM(C7:D7)</f>
        <v>0</v>
      </c>
      <c r="F7" s="55">
        <v>0</v>
      </c>
      <c r="G7" s="55">
        <v>0</v>
      </c>
      <c r="H7" s="55">
        <f>SUM(F7:G7)</f>
        <v>0</v>
      </c>
      <c r="I7" s="91">
        <f>E7-H7</f>
        <v>0</v>
      </c>
      <c r="J7" s="55">
        <v>0</v>
      </c>
      <c r="K7" s="55">
        <v>0</v>
      </c>
      <c r="L7" s="55">
        <v>0</v>
      </c>
      <c r="M7" s="55">
        <f>H7+J7+K7+L7</f>
        <v>0</v>
      </c>
      <c r="N7" s="55">
        <v>0</v>
      </c>
      <c r="O7" s="55">
        <v>0</v>
      </c>
      <c r="P7" s="55">
        <v>0</v>
      </c>
      <c r="Q7" s="91">
        <v>0</v>
      </c>
      <c r="R7" s="55">
        <f>SUM(N7:Q7)</f>
        <v>0</v>
      </c>
      <c r="S7" s="95">
        <f>M7-R7</f>
        <v>0</v>
      </c>
    </row>
    <row r="8" spans="1:19" ht="15.75">
      <c r="A8" s="55">
        <f>A7+S7</f>
        <v>0</v>
      </c>
      <c r="B8" s="90" t="s">
        <v>116</v>
      </c>
      <c r="C8" s="55">
        <v>135634.19</v>
      </c>
      <c r="D8" s="55">
        <v>38.56</v>
      </c>
      <c r="E8" s="55">
        <f>SUM(C8:D8)</f>
        <v>135672.75</v>
      </c>
      <c r="F8" s="55">
        <v>80630.74</v>
      </c>
      <c r="G8" s="55">
        <v>112.61</v>
      </c>
      <c r="H8" s="55">
        <f>SUM(F8:G8)</f>
        <v>80743.35</v>
      </c>
      <c r="I8" s="91">
        <f>E8-H8</f>
        <v>54929.399999999994</v>
      </c>
      <c r="J8" s="55">
        <v>0</v>
      </c>
      <c r="K8" s="55">
        <v>0</v>
      </c>
      <c r="L8" s="55">
        <v>0</v>
      </c>
      <c r="M8" s="55">
        <f>H8+J8+K8+L8</f>
        <v>80743.35</v>
      </c>
      <c r="N8" s="55">
        <f>'отчет 2010'!J29</f>
        <v>117232.92</v>
      </c>
      <c r="O8" s="55">
        <f>'отчет 2010'!J34-'отчет 2010'!J29</f>
        <v>875021.3899999999</v>
      </c>
      <c r="P8" s="55">
        <f>'отчет 2010'!H35</f>
        <v>0</v>
      </c>
      <c r="Q8" s="91">
        <v>0</v>
      </c>
      <c r="R8" s="55">
        <f>SUM(N8:Q8)</f>
        <v>992254.3099999999</v>
      </c>
      <c r="S8" s="95">
        <f>M8-R8</f>
        <v>-911510.96</v>
      </c>
    </row>
    <row r="9" spans="1:19" ht="15.75">
      <c r="A9" s="55">
        <f>A8+S8</f>
        <v>-911510.96</v>
      </c>
      <c r="B9" s="90" t="s">
        <v>117</v>
      </c>
      <c r="C9" s="55">
        <v>723183.57</v>
      </c>
      <c r="D9" s="55">
        <v>0</v>
      </c>
      <c r="E9" s="55">
        <f>SUM(C9:D9)</f>
        <v>723183.57</v>
      </c>
      <c r="F9" s="55">
        <f>'отчет 2011'!H10</f>
        <v>587027.21</v>
      </c>
      <c r="G9" s="55">
        <f>'отчет 2011'!H11</f>
        <v>0</v>
      </c>
      <c r="H9" s="55">
        <f>SUM(F9:G9)</f>
        <v>587027.21</v>
      </c>
      <c r="I9" s="91">
        <f>E9-H9</f>
        <v>136156.36</v>
      </c>
      <c r="J9" s="55">
        <f>'отчет 2011'!I12</f>
        <v>0</v>
      </c>
      <c r="K9" s="55">
        <f>'отчет 2011'!I13</f>
        <v>0</v>
      </c>
      <c r="L9" s="55">
        <f>'отчет 2011'!H13</f>
        <v>0</v>
      </c>
      <c r="M9" s="55">
        <f>H9+J9+K9+L9</f>
        <v>587027.21</v>
      </c>
      <c r="N9" s="55">
        <f>'отчет 2011'!J29</f>
        <v>95948.3</v>
      </c>
      <c r="O9" s="55">
        <f>'отчет 2011'!J32-'отчет 2011'!J29</f>
        <v>860355.5028000001</v>
      </c>
      <c r="P9" s="55">
        <f>'отчет 2011'!H36</f>
        <v>2069</v>
      </c>
      <c r="Q9" s="60">
        <f>'отчет 2011'!H38</f>
        <v>0</v>
      </c>
      <c r="R9" s="55">
        <f>SUM(N9:Q9)</f>
        <v>958372.8028000002</v>
      </c>
      <c r="S9" s="95">
        <f>M9-R9</f>
        <v>-371345.5928000002</v>
      </c>
    </row>
    <row r="10" spans="1:19" ht="15.75">
      <c r="A10" s="55"/>
      <c r="B10" s="90" t="s">
        <v>118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60"/>
      <c r="Q10" s="60"/>
      <c r="R10" s="60"/>
      <c r="S10" s="95"/>
    </row>
    <row r="11" spans="1:19" ht="15.75">
      <c r="A11" s="55"/>
      <c r="B11" s="90" t="s">
        <v>119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60"/>
      <c r="Q11" s="60"/>
      <c r="R11" s="60"/>
      <c r="S11" s="95"/>
    </row>
    <row r="12" spans="1:19" ht="15.75">
      <c r="A12" s="60"/>
      <c r="B12" s="93" t="s">
        <v>126</v>
      </c>
      <c r="C12" s="94">
        <f>SUM(C6:C11)</f>
        <v>858817.76</v>
      </c>
      <c r="D12" s="94">
        <f aca="true" t="shared" si="0" ref="D12:S12">SUM(D6:D11)</f>
        <v>38.56</v>
      </c>
      <c r="E12" s="94">
        <f t="shared" si="0"/>
        <v>858856.32</v>
      </c>
      <c r="F12" s="94">
        <f t="shared" si="0"/>
        <v>667657.95</v>
      </c>
      <c r="G12" s="94">
        <f t="shared" si="0"/>
        <v>112.61</v>
      </c>
      <c r="H12" s="94">
        <f t="shared" si="0"/>
        <v>667770.5599999999</v>
      </c>
      <c r="I12" s="94">
        <f t="shared" si="0"/>
        <v>191085.75999999998</v>
      </c>
      <c r="J12" s="94">
        <f t="shared" si="0"/>
        <v>0</v>
      </c>
      <c r="K12" s="94">
        <f t="shared" si="0"/>
        <v>0</v>
      </c>
      <c r="L12" s="94">
        <f t="shared" si="0"/>
        <v>0</v>
      </c>
      <c r="M12" s="94">
        <f t="shared" si="0"/>
        <v>667770.5599999999</v>
      </c>
      <c r="N12" s="94">
        <f t="shared" si="0"/>
        <v>213181.22</v>
      </c>
      <c r="O12" s="94">
        <f t="shared" si="0"/>
        <v>1735376.8928</v>
      </c>
      <c r="P12" s="94">
        <f t="shared" si="0"/>
        <v>2069</v>
      </c>
      <c r="Q12" s="94">
        <f t="shared" si="0"/>
        <v>0</v>
      </c>
      <c r="R12" s="94">
        <f t="shared" si="0"/>
        <v>1950627.1128000002</v>
      </c>
      <c r="S12" s="97">
        <f t="shared" si="0"/>
        <v>-1282856.5528000002</v>
      </c>
    </row>
  </sheetData>
  <sheetProtection/>
  <mergeCells count="19"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  <mergeCell ref="R3:R4"/>
    <mergeCell ref="N3:N4"/>
    <mergeCell ref="O3:O4"/>
    <mergeCell ref="P3:P4"/>
    <mergeCell ref="Q3:Q4"/>
    <mergeCell ref="I3:I4"/>
    <mergeCell ref="J3:J4"/>
    <mergeCell ref="K3:K4"/>
    <mergeCell ref="L3:L4"/>
  </mergeCells>
  <printOptions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J25" sqref="J25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19.00390625" style="0" customWidth="1"/>
    <col min="5" max="5" width="15.875" style="0" customWidth="1"/>
    <col min="6" max="6" width="22.50390625" style="0" hidden="1" customWidth="1"/>
    <col min="7" max="7" width="9.375" style="0" hidden="1" customWidth="1"/>
    <col min="8" max="8" width="10.375" style="0" hidden="1" customWidth="1"/>
    <col min="9" max="9" width="11.625" style="0" hidden="1" customWidth="1"/>
    <col min="10" max="10" width="21.00390625" style="0" customWidth="1"/>
    <col min="11" max="12" width="0" style="0" hidden="1" customWidth="1"/>
  </cols>
  <sheetData>
    <row r="1" spans="1:10" ht="126.75" customHeight="1">
      <c r="A1" s="238" t="s">
        <v>176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65.25" customHeight="1">
      <c r="A2" s="239" t="s">
        <v>177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9" ht="31.5">
      <c r="A3" s="1" t="s">
        <v>43</v>
      </c>
      <c r="B3" s="1" t="s">
        <v>58</v>
      </c>
      <c r="C3" s="2"/>
      <c r="D3" s="133" t="s">
        <v>160</v>
      </c>
      <c r="E3" s="4">
        <v>7773.4</v>
      </c>
      <c r="F3" s="2"/>
      <c r="H3" s="41"/>
      <c r="I3" s="44"/>
    </row>
    <row r="4" spans="2:6" ht="15.75">
      <c r="B4" s="3" t="s">
        <v>1</v>
      </c>
      <c r="C4" s="11">
        <v>10</v>
      </c>
      <c r="D4" s="2" t="s">
        <v>2</v>
      </c>
      <c r="E4" s="4">
        <v>140</v>
      </c>
      <c r="F4" s="2"/>
    </row>
    <row r="5" spans="2:9" ht="15.75">
      <c r="B5" s="3" t="s">
        <v>3</v>
      </c>
      <c r="C5" s="4">
        <v>4</v>
      </c>
      <c r="D5" s="2" t="s">
        <v>4</v>
      </c>
      <c r="E5" s="2" t="s">
        <v>45</v>
      </c>
      <c r="F5" s="2"/>
      <c r="G5" s="2"/>
      <c r="I5" s="2"/>
    </row>
    <row r="6" spans="2:7" ht="15.75">
      <c r="B6" s="3"/>
      <c r="C6" s="4"/>
      <c r="D6" s="2" t="s">
        <v>5</v>
      </c>
      <c r="E6" s="2" t="s">
        <v>15</v>
      </c>
      <c r="F6" s="2"/>
      <c r="G6" s="2"/>
    </row>
    <row r="7" spans="1:12" ht="46.5" customHeight="1">
      <c r="A7" s="45" t="s">
        <v>37</v>
      </c>
      <c r="B7" s="240" t="s">
        <v>62</v>
      </c>
      <c r="C7" s="207"/>
      <c r="D7" s="208"/>
      <c r="E7" s="43" t="s">
        <v>6</v>
      </c>
      <c r="F7" s="43" t="s">
        <v>7</v>
      </c>
      <c r="G7" s="163" t="s">
        <v>185</v>
      </c>
      <c r="H7" s="209" t="s">
        <v>186</v>
      </c>
      <c r="I7" s="210"/>
      <c r="J7" s="205"/>
      <c r="K7" s="90">
        <v>3</v>
      </c>
      <c r="L7" s="164" t="s">
        <v>178</v>
      </c>
    </row>
    <row r="8" spans="1:10" ht="15.75">
      <c r="A8" s="9">
        <v>1</v>
      </c>
      <c r="B8" s="235"/>
      <c r="C8" s="236"/>
      <c r="D8" s="236"/>
      <c r="E8" s="236"/>
      <c r="F8" s="237"/>
      <c r="G8" s="165"/>
      <c r="H8" s="166" t="s">
        <v>65</v>
      </c>
      <c r="I8" s="50" t="s">
        <v>66</v>
      </c>
      <c r="J8" s="50" t="s">
        <v>67</v>
      </c>
    </row>
    <row r="9" spans="1:10" ht="15.75">
      <c r="A9" s="9"/>
      <c r="B9" s="235" t="s">
        <v>68</v>
      </c>
      <c r="C9" s="236"/>
      <c r="D9" s="236"/>
      <c r="E9" s="236"/>
      <c r="F9" s="237"/>
      <c r="G9" s="51"/>
      <c r="H9" s="51"/>
      <c r="I9" s="51"/>
      <c r="J9" s="50"/>
    </row>
    <row r="10" spans="1:10" ht="15.75">
      <c r="A10" s="52"/>
      <c r="B10" s="302" t="s">
        <v>69</v>
      </c>
      <c r="C10" s="302"/>
      <c r="D10" s="302"/>
      <c r="E10" s="302"/>
      <c r="F10" s="302"/>
      <c r="G10" s="167"/>
      <c r="H10" s="168">
        <v>274377.19</v>
      </c>
      <c r="I10" s="19"/>
      <c r="J10" s="55">
        <f>H10+I10</f>
        <v>274377.19</v>
      </c>
    </row>
    <row r="11" spans="1:10" ht="15.75">
      <c r="A11" s="52"/>
      <c r="B11" s="302" t="s">
        <v>70</v>
      </c>
      <c r="C11" s="302"/>
      <c r="D11" s="302"/>
      <c r="E11" s="302"/>
      <c r="F11" s="302"/>
      <c r="G11" s="167"/>
      <c r="H11" s="169">
        <v>0</v>
      </c>
      <c r="I11" s="19"/>
      <c r="J11" s="55">
        <f>H11+I11</f>
        <v>0</v>
      </c>
    </row>
    <row r="12" spans="1:10" ht="15.75">
      <c r="A12" s="9"/>
      <c r="B12" s="302" t="s">
        <v>71</v>
      </c>
      <c r="C12" s="302"/>
      <c r="D12" s="302"/>
      <c r="E12" s="302"/>
      <c r="F12" s="302"/>
      <c r="G12" s="167"/>
      <c r="H12" s="168"/>
      <c r="I12" s="19">
        <v>0</v>
      </c>
      <c r="J12" s="55">
        <f>H12+I12</f>
        <v>0</v>
      </c>
    </row>
    <row r="13" spans="1:10" ht="15.75">
      <c r="A13" s="9"/>
      <c r="B13" s="302" t="s">
        <v>179</v>
      </c>
      <c r="C13" s="302"/>
      <c r="D13" s="302"/>
      <c r="E13" s="302"/>
      <c r="F13" s="302"/>
      <c r="G13" s="167"/>
      <c r="H13" s="168">
        <v>0</v>
      </c>
      <c r="I13" s="57">
        <v>0</v>
      </c>
      <c r="J13" s="55">
        <f>H13+I13</f>
        <v>0</v>
      </c>
    </row>
    <row r="14" spans="1:10" ht="15.75">
      <c r="A14" s="9"/>
      <c r="B14" s="233" t="s">
        <v>73</v>
      </c>
      <c r="C14" s="233"/>
      <c r="D14" s="233"/>
      <c r="E14" s="233"/>
      <c r="F14" s="233"/>
      <c r="G14" s="167"/>
      <c r="H14" s="58">
        <f>SUM(H10:H12)</f>
        <v>274377.19</v>
      </c>
      <c r="I14" s="59">
        <f>SUM(I10:I12)</f>
        <v>0</v>
      </c>
      <c r="J14" s="58">
        <f>SUM(J10:J13)</f>
        <v>274377.19</v>
      </c>
    </row>
    <row r="15" spans="1:10" ht="18.75">
      <c r="A15" s="9">
        <v>2</v>
      </c>
      <c r="B15" s="304" t="s">
        <v>38</v>
      </c>
      <c r="C15" s="304"/>
      <c r="D15" s="304"/>
      <c r="E15" s="304"/>
      <c r="F15" s="304"/>
      <c r="G15" s="167"/>
      <c r="H15" s="168"/>
      <c r="I15" s="19"/>
      <c r="J15" s="60"/>
    </row>
    <row r="16" spans="1:10" ht="15.75">
      <c r="A16" s="9" t="s">
        <v>74</v>
      </c>
      <c r="B16" s="170" t="s">
        <v>39</v>
      </c>
      <c r="C16" s="170"/>
      <c r="D16" s="170"/>
      <c r="E16" s="170"/>
      <c r="F16" s="82"/>
      <c r="G16" s="166"/>
      <c r="H16" s="166"/>
      <c r="I16" s="46"/>
      <c r="J16" s="50"/>
    </row>
    <row r="17" spans="1:10" ht="33" customHeight="1">
      <c r="A17" s="61"/>
      <c r="B17" s="303" t="s">
        <v>180</v>
      </c>
      <c r="C17" s="303"/>
      <c r="D17" s="303"/>
      <c r="E17" s="62" t="s">
        <v>29</v>
      </c>
      <c r="F17" s="171" t="s">
        <v>21</v>
      </c>
      <c r="G17" s="25">
        <v>1.29</v>
      </c>
      <c r="H17" s="172">
        <f>ROUND($E$3*G17*$K$7,2)</f>
        <v>30083.06</v>
      </c>
      <c r="I17" s="64"/>
      <c r="J17" s="65">
        <f>SUM(H17:I17)</f>
        <v>30083.06</v>
      </c>
    </row>
    <row r="18" spans="1:10" ht="17.25" customHeight="1">
      <c r="A18" s="9"/>
      <c r="B18" s="300" t="s">
        <v>16</v>
      </c>
      <c r="C18" s="300"/>
      <c r="D18" s="300"/>
      <c r="E18" s="62" t="s">
        <v>29</v>
      </c>
      <c r="F18" s="171" t="s">
        <v>17</v>
      </c>
      <c r="G18" s="25">
        <v>0.3</v>
      </c>
      <c r="H18" s="172">
        <f>ROUND($E$3*G18*$K$7,2)</f>
        <v>6996.06</v>
      </c>
      <c r="I18" s="64"/>
      <c r="J18" s="65">
        <f>SUM(H18:I18)</f>
        <v>6996.06</v>
      </c>
    </row>
    <row r="19" spans="1:10" ht="20.25" customHeight="1">
      <c r="A19" s="9"/>
      <c r="B19" s="299" t="s">
        <v>20</v>
      </c>
      <c r="C19" s="299"/>
      <c r="D19" s="299"/>
      <c r="E19" s="66" t="s">
        <v>75</v>
      </c>
      <c r="F19" s="173" t="s">
        <v>18</v>
      </c>
      <c r="G19" s="25">
        <v>1.05</v>
      </c>
      <c r="H19" s="172">
        <f>J19-I19</f>
        <v>0</v>
      </c>
      <c r="I19" s="64"/>
      <c r="J19" s="67">
        <v>0</v>
      </c>
    </row>
    <row r="20" spans="1:10" ht="20.25" customHeight="1">
      <c r="A20" s="61"/>
      <c r="B20" s="303" t="s">
        <v>28</v>
      </c>
      <c r="C20" s="303"/>
      <c r="D20" s="303"/>
      <c r="E20" s="68" t="s">
        <v>9</v>
      </c>
      <c r="F20" s="174" t="s">
        <v>10</v>
      </c>
      <c r="G20" s="25">
        <v>0.54</v>
      </c>
      <c r="H20" s="172">
        <f>ROUND($E$3*G20*$K$7,2)</f>
        <v>12592.91</v>
      </c>
      <c r="I20" s="64"/>
      <c r="J20" s="65">
        <f>SUM(H20:I20)</f>
        <v>12592.91</v>
      </c>
    </row>
    <row r="21" spans="1:10" ht="60.75" customHeight="1">
      <c r="A21" s="9"/>
      <c r="B21" s="299" t="s">
        <v>24</v>
      </c>
      <c r="C21" s="299"/>
      <c r="D21" s="299"/>
      <c r="E21" s="66" t="s">
        <v>76</v>
      </c>
      <c r="F21" s="173" t="s">
        <v>22</v>
      </c>
      <c r="G21" s="25">
        <v>0.13</v>
      </c>
      <c r="H21" s="172">
        <f>J21-I21</f>
        <v>0</v>
      </c>
      <c r="I21" s="64"/>
      <c r="J21" s="67">
        <v>0</v>
      </c>
    </row>
    <row r="22" spans="1:10" ht="20.25" customHeight="1">
      <c r="A22" s="61"/>
      <c r="B22" s="299" t="s">
        <v>11</v>
      </c>
      <c r="C22" s="299"/>
      <c r="D22" s="299"/>
      <c r="E22" s="66" t="s">
        <v>9</v>
      </c>
      <c r="F22" s="173" t="s">
        <v>12</v>
      </c>
      <c r="G22" s="25">
        <v>2.35</v>
      </c>
      <c r="H22" s="172">
        <f>ROUND($E$3*G22*$K$7,2)</f>
        <v>54802.47</v>
      </c>
      <c r="I22" s="64"/>
      <c r="J22" s="67">
        <f>H22</f>
        <v>54802.47</v>
      </c>
    </row>
    <row r="23" spans="1:10" ht="20.25" customHeight="1">
      <c r="A23" s="61"/>
      <c r="B23" s="299" t="s">
        <v>23</v>
      </c>
      <c r="C23" s="292"/>
      <c r="D23" s="292"/>
      <c r="E23" s="69" t="s">
        <v>13</v>
      </c>
      <c r="F23" s="175" t="s">
        <v>77</v>
      </c>
      <c r="G23" s="25">
        <v>0.05</v>
      </c>
      <c r="H23" s="172">
        <f>J23-I23</f>
        <v>0</v>
      </c>
      <c r="I23" s="64"/>
      <c r="J23" s="67">
        <v>0</v>
      </c>
    </row>
    <row r="24" spans="1:10" ht="28.5" customHeight="1">
      <c r="A24" s="9"/>
      <c r="B24" s="299" t="s">
        <v>41</v>
      </c>
      <c r="C24" s="299"/>
      <c r="D24" s="299"/>
      <c r="E24" s="62" t="s">
        <v>31</v>
      </c>
      <c r="F24" s="70" t="s">
        <v>44</v>
      </c>
      <c r="G24" s="25">
        <v>1.63</v>
      </c>
      <c r="H24" s="172">
        <f aca="true" t="shared" si="0" ref="H24:H29">ROUND($E$3*G24*$K$7,2)</f>
        <v>38011.93</v>
      </c>
      <c r="I24" s="64"/>
      <c r="J24" s="65">
        <f aca="true" t="shared" si="1" ref="J24:J29">SUM(H24:I24)</f>
        <v>38011.93</v>
      </c>
    </row>
    <row r="25" spans="1:10" ht="26.25" customHeight="1">
      <c r="A25" s="9"/>
      <c r="B25" s="300" t="s">
        <v>14</v>
      </c>
      <c r="C25" s="300"/>
      <c r="D25" s="300"/>
      <c r="E25" s="62" t="s">
        <v>31</v>
      </c>
      <c r="F25" s="70" t="s">
        <v>44</v>
      </c>
      <c r="G25" s="25">
        <v>0.56</v>
      </c>
      <c r="H25" s="172">
        <f t="shared" si="0"/>
        <v>13059.31</v>
      </c>
      <c r="I25" s="64"/>
      <c r="J25" s="65">
        <v>13025.88</v>
      </c>
    </row>
    <row r="26" spans="1:10" ht="30" customHeight="1">
      <c r="A26" s="9"/>
      <c r="B26" s="301" t="s">
        <v>181</v>
      </c>
      <c r="C26" s="294"/>
      <c r="D26" s="295"/>
      <c r="E26" s="62" t="s">
        <v>31</v>
      </c>
      <c r="F26" s="70" t="s">
        <v>44</v>
      </c>
      <c r="G26" s="25">
        <f>4.38-G27-G28</f>
        <v>4.07</v>
      </c>
      <c r="H26" s="172">
        <f t="shared" si="0"/>
        <v>94913.21</v>
      </c>
      <c r="I26" s="73"/>
      <c r="J26" s="65">
        <f t="shared" si="1"/>
        <v>94913.21</v>
      </c>
    </row>
    <row r="27" spans="1:10" ht="26.25" customHeight="1">
      <c r="A27" s="61"/>
      <c r="B27" s="299" t="s">
        <v>78</v>
      </c>
      <c r="C27" s="299"/>
      <c r="D27" s="299"/>
      <c r="E27" s="62" t="s">
        <v>31</v>
      </c>
      <c r="F27" s="70" t="s">
        <v>44</v>
      </c>
      <c r="G27" s="25">
        <v>0.31</v>
      </c>
      <c r="H27" s="172">
        <f t="shared" si="0"/>
        <v>7229.26</v>
      </c>
      <c r="I27" s="73"/>
      <c r="J27" s="65">
        <f t="shared" si="1"/>
        <v>7229.26</v>
      </c>
    </row>
    <row r="28" spans="1:10" ht="17.25" customHeight="1">
      <c r="A28" s="9"/>
      <c r="B28" s="299" t="s">
        <v>79</v>
      </c>
      <c r="C28" s="299"/>
      <c r="D28" s="299"/>
      <c r="E28" s="66" t="s">
        <v>9</v>
      </c>
      <c r="F28" s="70" t="s">
        <v>44</v>
      </c>
      <c r="G28" s="114">
        <v>0</v>
      </c>
      <c r="H28" s="172">
        <f t="shared" si="0"/>
        <v>0</v>
      </c>
      <c r="I28" s="73"/>
      <c r="J28" s="65">
        <f t="shared" si="1"/>
        <v>0</v>
      </c>
    </row>
    <row r="29" spans="1:10" ht="29.25" customHeight="1">
      <c r="A29" s="9"/>
      <c r="B29" s="292" t="s">
        <v>19</v>
      </c>
      <c r="C29" s="292"/>
      <c r="D29" s="292"/>
      <c r="E29" s="102" t="s">
        <v>31</v>
      </c>
      <c r="F29" s="70" t="s">
        <v>44</v>
      </c>
      <c r="G29" s="25">
        <v>1.54</v>
      </c>
      <c r="H29" s="172">
        <f t="shared" si="0"/>
        <v>35913.11</v>
      </c>
      <c r="I29" s="64"/>
      <c r="J29" s="65">
        <f t="shared" si="1"/>
        <v>35913.11</v>
      </c>
    </row>
    <row r="30" spans="1:10" ht="15.75">
      <c r="A30" s="9"/>
      <c r="B30" s="293"/>
      <c r="C30" s="294"/>
      <c r="D30" s="295"/>
      <c r="E30" s="66"/>
      <c r="F30" s="70"/>
      <c r="G30" s="175"/>
      <c r="H30" s="176"/>
      <c r="I30" s="57"/>
      <c r="J30" s="74"/>
    </row>
    <row r="31" spans="1:10" ht="15.75">
      <c r="A31" s="9"/>
      <c r="B31" s="283" t="s">
        <v>27</v>
      </c>
      <c r="C31" s="283"/>
      <c r="D31" s="283"/>
      <c r="E31" s="9"/>
      <c r="F31" s="70"/>
      <c r="G31" s="10">
        <f>SUM(G17:G29)</f>
        <v>13.82</v>
      </c>
      <c r="H31" s="86">
        <f>SUM(H17:H30)</f>
        <v>293601.32</v>
      </c>
      <c r="I31" s="59"/>
      <c r="J31" s="86">
        <f>SUM(J17:J30)</f>
        <v>293567.89</v>
      </c>
    </row>
    <row r="32" spans="1:10" ht="15.75">
      <c r="A32" s="9"/>
      <c r="B32" s="296" t="s">
        <v>80</v>
      </c>
      <c r="C32" s="297"/>
      <c r="D32" s="298"/>
      <c r="E32" s="66" t="s">
        <v>9</v>
      </c>
      <c r="F32" s="70"/>
      <c r="G32" s="175"/>
      <c r="H32" s="176"/>
      <c r="I32" s="57"/>
      <c r="J32" s="74"/>
    </row>
    <row r="33" spans="1:10" ht="25.5">
      <c r="A33" s="9"/>
      <c r="B33" s="296" t="s">
        <v>81</v>
      </c>
      <c r="C33" s="297"/>
      <c r="D33" s="298"/>
      <c r="E33" s="62" t="s">
        <v>31</v>
      </c>
      <c r="F33" s="70"/>
      <c r="G33" s="175"/>
      <c r="H33" s="176"/>
      <c r="I33" s="57"/>
      <c r="J33" s="74"/>
    </row>
    <row r="34" spans="1:10" ht="15.75">
      <c r="A34" s="9"/>
      <c r="B34" s="293"/>
      <c r="C34" s="294"/>
      <c r="D34" s="295"/>
      <c r="E34" s="66"/>
      <c r="F34" s="70"/>
      <c r="G34" s="175"/>
      <c r="H34" s="176"/>
      <c r="I34" s="57"/>
      <c r="J34" s="74"/>
    </row>
    <row r="35" spans="1:10" ht="15" customHeight="1">
      <c r="A35" s="9" t="s">
        <v>82</v>
      </c>
      <c r="B35" s="215" t="s">
        <v>83</v>
      </c>
      <c r="C35" s="216"/>
      <c r="D35" s="216"/>
      <c r="E35" s="217"/>
      <c r="F35" s="70" t="s">
        <v>44</v>
      </c>
      <c r="G35" s="10">
        <f>H35/E3/$K$7</f>
        <v>2.905206644882977</v>
      </c>
      <c r="H35" s="177">
        <v>67750</v>
      </c>
      <c r="I35" s="78"/>
      <c r="J35" s="58">
        <f>SUM(H35:I35)</f>
        <v>67750</v>
      </c>
    </row>
    <row r="36" spans="1:10" ht="14.25" customHeight="1">
      <c r="A36" s="79"/>
      <c r="B36" s="220" t="s">
        <v>40</v>
      </c>
      <c r="C36" s="220"/>
      <c r="D36" s="220"/>
      <c r="E36" s="220"/>
      <c r="F36" s="220"/>
      <c r="G36" s="10">
        <f>SUM(G31:G35)</f>
        <v>16.725206644882977</v>
      </c>
      <c r="H36" s="178">
        <f>SUM(H31:H35)</f>
        <v>361351.32</v>
      </c>
      <c r="I36" s="179"/>
      <c r="J36" s="178">
        <f>SUM(J31:J35)</f>
        <v>361317.89</v>
      </c>
    </row>
    <row r="37" spans="1:10" ht="15.75">
      <c r="A37" s="9" t="s">
        <v>84</v>
      </c>
      <c r="B37" s="220" t="s">
        <v>85</v>
      </c>
      <c r="C37" s="220"/>
      <c r="D37" s="220"/>
      <c r="E37" s="220"/>
      <c r="F37" s="220"/>
      <c r="G37" s="10">
        <f>H37/E3/$K$7</f>
        <v>0</v>
      </c>
      <c r="H37" s="83">
        <v>0</v>
      </c>
      <c r="I37" s="83"/>
      <c r="J37" s="84">
        <f>SUM(H37:I37)</f>
        <v>0</v>
      </c>
    </row>
    <row r="38" spans="1:10" ht="24.75" customHeight="1">
      <c r="A38" s="79"/>
      <c r="B38" s="220" t="s">
        <v>86</v>
      </c>
      <c r="C38" s="220"/>
      <c r="D38" s="220"/>
      <c r="E38" s="220"/>
      <c r="F38" s="220"/>
      <c r="G38" s="10">
        <f>SUM(G36:G37)</f>
        <v>16.725206644882977</v>
      </c>
      <c r="H38" s="178">
        <f>SUM(H36:H37)</f>
        <v>361351.32</v>
      </c>
      <c r="I38" s="179"/>
      <c r="J38" s="178">
        <f>SUM(J36:J37)</f>
        <v>361317.89</v>
      </c>
    </row>
    <row r="39" spans="1:10" ht="27" customHeight="1">
      <c r="A39" s="9">
        <v>3</v>
      </c>
      <c r="B39" s="289" t="s">
        <v>193</v>
      </c>
      <c r="C39" s="290"/>
      <c r="D39" s="290"/>
      <c r="E39" s="290"/>
      <c r="F39" s="290"/>
      <c r="G39" s="180"/>
      <c r="H39" s="172">
        <f>H14-H38</f>
        <v>-86974.13</v>
      </c>
      <c r="I39" s="172"/>
      <c r="J39" s="59">
        <f>J14-J38</f>
        <v>-86940.70000000001</v>
      </c>
    </row>
    <row r="40" spans="2:6" ht="15.75">
      <c r="B40" s="12"/>
      <c r="F40" s="12"/>
    </row>
    <row r="41" spans="2:9" ht="36" customHeight="1">
      <c r="B41" s="291" t="s">
        <v>194</v>
      </c>
      <c r="C41" s="291"/>
      <c r="D41" s="291"/>
      <c r="E41" s="291"/>
      <c r="F41" s="291"/>
      <c r="G41" s="291"/>
      <c r="H41" s="291"/>
      <c r="I41" s="291"/>
    </row>
    <row r="42" spans="2:4" ht="25.5" customHeight="1">
      <c r="B42" s="12"/>
      <c r="C42" s="12"/>
      <c r="D42" s="12"/>
    </row>
    <row r="43" spans="2:4" ht="15.75">
      <c r="B43" s="112" t="s">
        <v>182</v>
      </c>
      <c r="C43" s="112"/>
      <c r="D43" s="112"/>
    </row>
    <row r="44" spans="2:4" ht="15.75">
      <c r="B44" s="88" t="s">
        <v>183</v>
      </c>
      <c r="C44" s="88"/>
      <c r="D44" s="112"/>
    </row>
    <row r="45" spans="2:4" ht="15.75" customHeight="1">
      <c r="B45" s="218" t="s">
        <v>184</v>
      </c>
      <c r="C45" s="218"/>
      <c r="D45" s="218"/>
    </row>
  </sheetData>
  <sheetProtection/>
  <mergeCells count="37">
    <mergeCell ref="B14:F14"/>
    <mergeCell ref="B15:F15"/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27:D27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3:D33"/>
    <mergeCell ref="B34:D34"/>
    <mergeCell ref="B35:E35"/>
    <mergeCell ref="B36:F36"/>
    <mergeCell ref="B29:D29"/>
    <mergeCell ref="B30:D30"/>
    <mergeCell ref="B31:D31"/>
    <mergeCell ref="B32:D32"/>
    <mergeCell ref="B37:F37"/>
    <mergeCell ref="B38:F38"/>
    <mergeCell ref="B39:F39"/>
    <mergeCell ref="B45:D45"/>
    <mergeCell ref="B41:I41"/>
  </mergeCells>
  <printOptions/>
  <pageMargins left="0.97" right="0" top="0" bottom="0" header="0.31496062992125984" footer="0.31496062992125984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PageLayoutView="0" workbookViewId="0" topLeftCell="A13">
      <selection activeCell="T6" sqref="T6"/>
    </sheetView>
  </sheetViews>
  <sheetFormatPr defaultColWidth="9.00390625" defaultRowHeight="15.75"/>
  <cols>
    <col min="1" max="1" width="12.125" style="181" bestFit="1" customWidth="1"/>
    <col min="2" max="2" width="10.75390625" style="181" customWidth="1"/>
    <col min="3" max="3" width="12.625" style="181" bestFit="1" customWidth="1"/>
    <col min="4" max="4" width="9.875" style="181" bestFit="1" customWidth="1"/>
    <col min="5" max="6" width="12.625" style="181" bestFit="1" customWidth="1"/>
    <col min="7" max="7" width="9.875" style="181" bestFit="1" customWidth="1"/>
    <col min="8" max="8" width="12.625" style="181" bestFit="1" customWidth="1"/>
    <col min="9" max="9" width="11.625" style="181" customWidth="1"/>
    <col min="10" max="10" width="7.125" style="181" bestFit="1" customWidth="1"/>
    <col min="11" max="11" width="9.00390625" style="181" customWidth="1"/>
    <col min="12" max="12" width="11.875" style="181" bestFit="1" customWidth="1"/>
    <col min="13" max="13" width="12.625" style="181" bestFit="1" customWidth="1"/>
    <col min="14" max="14" width="9.875" style="181" bestFit="1" customWidth="1"/>
    <col min="15" max="15" width="11.375" style="181" bestFit="1" customWidth="1"/>
    <col min="16" max="16" width="11.00390625" style="181" bestFit="1" customWidth="1"/>
    <col min="17" max="17" width="8.50390625" style="181" bestFit="1" customWidth="1"/>
    <col min="18" max="18" width="12.625" style="181" bestFit="1" customWidth="1"/>
    <col min="19" max="19" width="12.875" style="181" customWidth="1"/>
    <col min="20" max="16384" width="9.00390625" style="181" customWidth="1"/>
  </cols>
  <sheetData>
    <row r="1" spans="1:19" ht="109.5" customHeight="1" thickBot="1">
      <c r="A1" s="312" t="s">
        <v>192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</row>
    <row r="2" spans="1:19" ht="15.75" customHeight="1">
      <c r="A2" s="313" t="s">
        <v>90</v>
      </c>
      <c r="B2" s="315" t="s">
        <v>91</v>
      </c>
      <c r="C2" s="315" t="s">
        <v>92</v>
      </c>
      <c r="D2" s="315"/>
      <c r="E2" s="315"/>
      <c r="F2" s="315"/>
      <c r="G2" s="315"/>
      <c r="H2" s="315"/>
      <c r="I2" s="315"/>
      <c r="J2" s="316" t="s">
        <v>93</v>
      </c>
      <c r="K2" s="316"/>
      <c r="L2" s="316"/>
      <c r="M2" s="317" t="s">
        <v>94</v>
      </c>
      <c r="N2" s="315" t="s">
        <v>95</v>
      </c>
      <c r="O2" s="315"/>
      <c r="P2" s="315"/>
      <c r="Q2" s="315"/>
      <c r="R2" s="315"/>
      <c r="S2" s="319" t="s">
        <v>128</v>
      </c>
    </row>
    <row r="3" spans="1:19" ht="15.75">
      <c r="A3" s="314"/>
      <c r="B3" s="305"/>
      <c r="C3" s="321" t="s">
        <v>96</v>
      </c>
      <c r="D3" s="322"/>
      <c r="E3" s="323"/>
      <c r="F3" s="321" t="s">
        <v>97</v>
      </c>
      <c r="G3" s="322"/>
      <c r="H3" s="323"/>
      <c r="I3" s="309" t="s">
        <v>98</v>
      </c>
      <c r="J3" s="307" t="s">
        <v>99</v>
      </c>
      <c r="K3" s="310" t="s">
        <v>100</v>
      </c>
      <c r="L3" s="307" t="s">
        <v>101</v>
      </c>
      <c r="M3" s="318"/>
      <c r="N3" s="309" t="s">
        <v>102</v>
      </c>
      <c r="O3" s="305" t="s">
        <v>103</v>
      </c>
      <c r="P3" s="305" t="s">
        <v>104</v>
      </c>
      <c r="Q3" s="305" t="s">
        <v>105</v>
      </c>
      <c r="R3" s="305" t="s">
        <v>106</v>
      </c>
      <c r="S3" s="320"/>
    </row>
    <row r="4" spans="1:19" ht="47.25" customHeight="1">
      <c r="A4" s="314"/>
      <c r="B4" s="305"/>
      <c r="C4" s="184" t="s">
        <v>107</v>
      </c>
      <c r="D4" s="183" t="s">
        <v>105</v>
      </c>
      <c r="E4" s="183" t="s">
        <v>106</v>
      </c>
      <c r="F4" s="184" t="s">
        <v>107</v>
      </c>
      <c r="G4" s="183" t="s">
        <v>105</v>
      </c>
      <c r="H4" s="183" t="s">
        <v>106</v>
      </c>
      <c r="I4" s="309"/>
      <c r="J4" s="308"/>
      <c r="K4" s="311"/>
      <c r="L4" s="308"/>
      <c r="M4" s="311"/>
      <c r="N4" s="305"/>
      <c r="O4" s="305"/>
      <c r="P4" s="305"/>
      <c r="Q4" s="305"/>
      <c r="R4" s="305"/>
      <c r="S4" s="320"/>
    </row>
    <row r="5" spans="1:19" ht="31.5">
      <c r="A5" s="182">
        <v>1</v>
      </c>
      <c r="B5" s="183">
        <v>2</v>
      </c>
      <c r="C5" s="184">
        <v>3</v>
      </c>
      <c r="D5" s="183">
        <v>4</v>
      </c>
      <c r="E5" s="183" t="s">
        <v>108</v>
      </c>
      <c r="F5" s="184">
        <v>6</v>
      </c>
      <c r="G5" s="183">
        <v>7</v>
      </c>
      <c r="H5" s="183" t="s">
        <v>109</v>
      </c>
      <c r="I5" s="184" t="s">
        <v>110</v>
      </c>
      <c r="J5" s="183">
        <v>10</v>
      </c>
      <c r="K5" s="183">
        <v>11</v>
      </c>
      <c r="L5" s="184">
        <v>12</v>
      </c>
      <c r="M5" s="184" t="s">
        <v>111</v>
      </c>
      <c r="N5" s="183">
        <v>14</v>
      </c>
      <c r="O5" s="184">
        <v>15</v>
      </c>
      <c r="P5" s="183">
        <v>16</v>
      </c>
      <c r="Q5" s="183">
        <v>17</v>
      </c>
      <c r="R5" s="184" t="s">
        <v>112</v>
      </c>
      <c r="S5" s="185" t="s">
        <v>113</v>
      </c>
    </row>
    <row r="6" spans="1:19" ht="15.75">
      <c r="A6" s="186">
        <v>-1634382.71</v>
      </c>
      <c r="B6" s="187" t="s">
        <v>187</v>
      </c>
      <c r="C6" s="188">
        <v>314143.67</v>
      </c>
      <c r="D6" s="188">
        <v>0</v>
      </c>
      <c r="E6" s="188">
        <f>C6+D6</f>
        <v>314143.67</v>
      </c>
      <c r="F6" s="188">
        <f>'отчет 2012 (10-12)'!H10</f>
        <v>274377.19</v>
      </c>
      <c r="G6" s="188">
        <f>'отчет 2012 (10-12)'!H11</f>
        <v>0</v>
      </c>
      <c r="H6" s="188">
        <f>SUM(F6:G6)</f>
        <v>274377.19</v>
      </c>
      <c r="I6" s="189">
        <f>E6-H6</f>
        <v>39766.47999999998</v>
      </c>
      <c r="J6" s="188">
        <v>0</v>
      </c>
      <c r="K6" s="188">
        <v>0</v>
      </c>
      <c r="L6" s="188">
        <v>0</v>
      </c>
      <c r="M6" s="188">
        <f>H6+J6+K6+L6</f>
        <v>274377.19</v>
      </c>
      <c r="N6" s="188">
        <f>'отчет 2012 (10-12)'!J29</f>
        <v>35913.11</v>
      </c>
      <c r="O6" s="188">
        <f>'отчет 2012 (10-12)'!J31-'отчет 2012 (10-12)'!J29</f>
        <v>257654.78000000003</v>
      </c>
      <c r="P6" s="188">
        <f>'отчет 2012 (10-12)'!H35</f>
        <v>67750</v>
      </c>
      <c r="Q6" s="189">
        <f>'отчет 2012 (10-12)'!H37</f>
        <v>0</v>
      </c>
      <c r="R6" s="188">
        <f>SUM(N6:Q6)</f>
        <v>361317.89</v>
      </c>
      <c r="S6" s="190">
        <f>M6-R6</f>
        <v>-86940.70000000001</v>
      </c>
    </row>
    <row r="7" spans="1:19" ht="15.75">
      <c r="A7" s="186"/>
      <c r="B7" s="187"/>
      <c r="C7" s="188"/>
      <c r="D7" s="188"/>
      <c r="E7" s="188">
        <f>SUM(C7:D7)</f>
        <v>0</v>
      </c>
      <c r="F7" s="188"/>
      <c r="G7" s="188"/>
      <c r="H7" s="188">
        <f>SUM(F7:G7)</f>
        <v>0</v>
      </c>
      <c r="I7" s="189">
        <f>E7-H7</f>
        <v>0</v>
      </c>
      <c r="J7" s="188">
        <v>0</v>
      </c>
      <c r="K7" s="188">
        <v>0</v>
      </c>
      <c r="L7" s="188">
        <v>0</v>
      </c>
      <c r="M7" s="188">
        <f>H7+J7+K7+L7</f>
        <v>0</v>
      </c>
      <c r="N7" s="188"/>
      <c r="O7" s="188"/>
      <c r="P7" s="188"/>
      <c r="Q7" s="189">
        <v>0</v>
      </c>
      <c r="R7" s="188">
        <f>SUM(N7:Q7)</f>
        <v>0</v>
      </c>
      <c r="S7" s="190">
        <f>M7-R7</f>
        <v>0</v>
      </c>
    </row>
    <row r="8" spans="1:19" ht="15.75">
      <c r="A8" s="186"/>
      <c r="B8" s="187"/>
      <c r="C8" s="188"/>
      <c r="D8" s="188"/>
      <c r="E8" s="188">
        <f>SUM(C8:D8)</f>
        <v>0</v>
      </c>
      <c r="F8" s="188"/>
      <c r="G8" s="188"/>
      <c r="H8" s="188">
        <f>SUM(F8:G8)</f>
        <v>0</v>
      </c>
      <c r="I8" s="189">
        <f>E8-H8</f>
        <v>0</v>
      </c>
      <c r="J8" s="188">
        <v>0</v>
      </c>
      <c r="K8" s="188">
        <v>0</v>
      </c>
      <c r="L8" s="188">
        <v>0</v>
      </c>
      <c r="M8" s="188">
        <f>H8+J8+K8+L8</f>
        <v>0</v>
      </c>
      <c r="N8" s="188"/>
      <c r="O8" s="188"/>
      <c r="P8" s="188"/>
      <c r="Q8" s="189">
        <v>0</v>
      </c>
      <c r="R8" s="188">
        <f>SUM(N8:Q8)</f>
        <v>0</v>
      </c>
      <c r="S8" s="190">
        <f>M8-R8</f>
        <v>0</v>
      </c>
    </row>
    <row r="9" spans="1:19" ht="15.75">
      <c r="A9" s="186"/>
      <c r="B9" s="187"/>
      <c r="C9" s="188"/>
      <c r="D9" s="188"/>
      <c r="E9" s="188">
        <f>SUM(C9:D9)</f>
        <v>0</v>
      </c>
      <c r="F9" s="188"/>
      <c r="G9" s="188"/>
      <c r="H9" s="188">
        <f>SUM(F9:G9)</f>
        <v>0</v>
      </c>
      <c r="I9" s="189">
        <f>E9-H9</f>
        <v>0</v>
      </c>
      <c r="J9" s="188">
        <f>'[1]отчет 2011'!I12</f>
        <v>0</v>
      </c>
      <c r="K9" s="188">
        <f>'[1]отчет 2011'!I13</f>
        <v>0</v>
      </c>
      <c r="L9" s="188">
        <f>'[1]отчет 2011'!H13</f>
        <v>0</v>
      </c>
      <c r="M9" s="188">
        <f>H9+J9+K9+L9</f>
        <v>0</v>
      </c>
      <c r="N9" s="188"/>
      <c r="O9" s="188"/>
      <c r="P9" s="188"/>
      <c r="Q9" s="189">
        <v>0</v>
      </c>
      <c r="R9" s="188">
        <f>SUM(N9:Q9)</f>
        <v>0</v>
      </c>
      <c r="S9" s="190">
        <f>M9-R9</f>
        <v>0</v>
      </c>
    </row>
    <row r="10" spans="1:19" ht="15.75">
      <c r="A10" s="186"/>
      <c r="B10" s="187"/>
      <c r="C10" s="188"/>
      <c r="D10" s="188"/>
      <c r="E10" s="188">
        <f>SUM(C10:D10)</f>
        <v>0</v>
      </c>
      <c r="F10" s="188"/>
      <c r="G10" s="188"/>
      <c r="H10" s="188">
        <f>SUM(F10:G10)</f>
        <v>0</v>
      </c>
      <c r="I10" s="189">
        <f>E10-H10</f>
        <v>0</v>
      </c>
      <c r="J10" s="188">
        <v>0</v>
      </c>
      <c r="K10" s="188">
        <v>0</v>
      </c>
      <c r="L10" s="188">
        <v>0</v>
      </c>
      <c r="M10" s="188">
        <f>H10+J10+K10+L10</f>
        <v>0</v>
      </c>
      <c r="N10" s="188"/>
      <c r="O10" s="188"/>
      <c r="P10" s="188"/>
      <c r="Q10" s="189">
        <v>0</v>
      </c>
      <c r="R10" s="188">
        <f>SUM(N10:Q10)</f>
        <v>0</v>
      </c>
      <c r="S10" s="190">
        <f>M10-R10</f>
        <v>0</v>
      </c>
    </row>
    <row r="11" spans="1:19" ht="16.5" thickBot="1">
      <c r="A11" s="191"/>
      <c r="B11" s="192" t="s">
        <v>126</v>
      </c>
      <c r="C11" s="193">
        <f aca="true" t="shared" si="0" ref="C11:R11">SUM(C6:C10)</f>
        <v>314143.67</v>
      </c>
      <c r="D11" s="193">
        <f t="shared" si="0"/>
        <v>0</v>
      </c>
      <c r="E11" s="193">
        <f t="shared" si="0"/>
        <v>314143.67</v>
      </c>
      <c r="F11" s="193">
        <f t="shared" si="0"/>
        <v>274377.19</v>
      </c>
      <c r="G11" s="193">
        <f t="shared" si="0"/>
        <v>0</v>
      </c>
      <c r="H11" s="193">
        <f t="shared" si="0"/>
        <v>274377.19</v>
      </c>
      <c r="I11" s="193">
        <f t="shared" si="0"/>
        <v>39766.47999999998</v>
      </c>
      <c r="J11" s="193">
        <f t="shared" si="0"/>
        <v>0</v>
      </c>
      <c r="K11" s="193">
        <f t="shared" si="0"/>
        <v>0</v>
      </c>
      <c r="L11" s="193">
        <f t="shared" si="0"/>
        <v>0</v>
      </c>
      <c r="M11" s="193">
        <f t="shared" si="0"/>
        <v>274377.19</v>
      </c>
      <c r="N11" s="193">
        <f t="shared" si="0"/>
        <v>35913.11</v>
      </c>
      <c r="O11" s="193">
        <f t="shared" si="0"/>
        <v>257654.78000000003</v>
      </c>
      <c r="P11" s="193">
        <f t="shared" si="0"/>
        <v>67750</v>
      </c>
      <c r="Q11" s="193">
        <f t="shared" si="0"/>
        <v>0</v>
      </c>
      <c r="R11" s="193">
        <f t="shared" si="0"/>
        <v>361317.89</v>
      </c>
      <c r="S11" s="194">
        <f>A6+SUM(S6:S10)</f>
        <v>-1721323.41</v>
      </c>
    </row>
    <row r="14" spans="15:19" ht="16.5">
      <c r="O14" s="195"/>
      <c r="P14" s="195"/>
      <c r="Q14" s="195"/>
      <c r="R14" s="195"/>
      <c r="S14" s="196"/>
    </row>
    <row r="15" spans="15:19" ht="16.5">
      <c r="O15" s="195"/>
      <c r="P15" s="195"/>
      <c r="Q15" s="195"/>
      <c r="R15" s="195"/>
      <c r="S15" s="195"/>
    </row>
    <row r="16" spans="2:9" s="197" customFormat="1" ht="18.75">
      <c r="B16" s="306" t="s">
        <v>188</v>
      </c>
      <c r="C16" s="306"/>
      <c r="D16" s="306"/>
      <c r="E16" s="306"/>
      <c r="F16" s="306" t="s">
        <v>189</v>
      </c>
      <c r="G16" s="306"/>
      <c r="H16" s="306"/>
      <c r="I16" s="306"/>
    </row>
    <row r="17" s="197" customFormat="1" ht="18.75"/>
    <row r="19" spans="2:8" ht="29.25" customHeight="1">
      <c r="B19" s="198" t="s">
        <v>190</v>
      </c>
      <c r="F19" s="306" t="s">
        <v>191</v>
      </c>
      <c r="G19" s="306"/>
      <c r="H19" s="306"/>
    </row>
  </sheetData>
  <sheetProtection/>
  <mergeCells count="22"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  <mergeCell ref="F19:H19"/>
    <mergeCell ref="I3:I4"/>
    <mergeCell ref="J3:J4"/>
    <mergeCell ref="K3:K4"/>
    <mergeCell ref="P3:P4"/>
    <mergeCell ref="Q3:Q4"/>
    <mergeCell ref="R3:R4"/>
    <mergeCell ref="B16:E16"/>
    <mergeCell ref="F16:I16"/>
    <mergeCell ref="L3:L4"/>
    <mergeCell ref="N3:N4"/>
    <mergeCell ref="O3:O4"/>
  </mergeCells>
  <printOptions/>
  <pageMargins left="0.31496062992125984" right="0" top="0" bottom="0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2013-02-25T09:38:39Z</cp:lastPrinted>
  <dcterms:created xsi:type="dcterms:W3CDTF">2009-08-26T03:25:10Z</dcterms:created>
  <dcterms:modified xsi:type="dcterms:W3CDTF">2013-05-08T05:02:30Z</dcterms:modified>
  <cp:category/>
  <cp:version/>
  <cp:contentType/>
  <cp:contentStatus/>
</cp:coreProperties>
</file>