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tabRatio="715" firstSheet="7" activeTab="7"/>
  </bookViews>
  <sheets>
    <sheet name="2008" sheetId="1" r:id="rId1"/>
    <sheet name="отчет 2009" sheetId="2" state="hidden" r:id="rId2"/>
    <sheet name="отчет 2010" sheetId="3" state="hidden" r:id="rId3"/>
    <sheet name="смета 2011" sheetId="4" state="hidden" r:id="rId4"/>
    <sheet name="отчет 2011" sheetId="5" state="hidden" r:id="rId5"/>
    <sheet name="смета 2012" sheetId="6" state="hidden" r:id="rId6"/>
    <sheet name="07.12г." sheetId="7" state="hidden" r:id="rId7"/>
    <sheet name="отчет 2012(01-08)" sheetId="8" r:id="rId8"/>
    <sheet name="накопит отчет" sheetId="9" state="hidden" r:id="rId9"/>
  </sheets>
  <definedNames/>
  <calcPr fullCalcOnLoad="1"/>
</workbook>
</file>

<file path=xl/sharedStrings.xml><?xml version="1.0" encoding="utf-8"?>
<sst xmlns="http://schemas.openxmlformats.org/spreadsheetml/2006/main" count="719" uniqueCount="252">
  <si>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</si>
  <si>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</si>
  <si>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</si>
  <si>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</si>
  <si>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</si>
  <si>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</si>
  <si>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</si>
  <si>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</si>
  <si>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</si>
  <si>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</si>
  <si>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</si>
  <si>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</si>
  <si>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</si>
  <si>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</si>
  <si>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</si>
  <si>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</si>
  <si>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</si>
  <si>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</si>
  <si>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</si>
  <si>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</si>
  <si>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</si>
  <si>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</si>
  <si>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</si>
  <si>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</si>
  <si>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</si>
  <si>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</si>
  <si>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</si>
  <si>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</si>
  <si>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</si>
  <si>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</si>
  <si>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</si>
  <si>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</si>
  <si>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</si>
  <si>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</si>
  <si>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</si>
  <si>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</si>
  <si>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</si>
  <si>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</si>
  <si>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</si>
  <si>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</si>
  <si>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</si>
  <si>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</si>
  <si>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</si>
  <si>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</si>
  <si>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</si>
  <si>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</si>
  <si>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</si>
  <si>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</si>
  <si>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</si>
  <si>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</si>
  <si>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</si>
  <si>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</si>
  <si>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</si>
  <si>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</si>
  <si>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</si>
  <si>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</si>
  <si>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</si>
  <si>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</si>
  <si>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</si>
  <si>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</si>
  <si>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</si>
  <si>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</si>
  <si>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</si>
  <si>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</si>
  <si>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</si>
  <si>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</si>
  <si>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</si>
  <si>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</si>
  <si>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</si>
  <si>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</si>
  <si>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</si>
  <si>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</si>
  <si>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</si>
  <si>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</si>
  <si>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</si>
  <si>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</si>
  <si>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</si>
  <si>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</si>
  <si>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</si>
  <si>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</si>
  <si>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</si>
  <si>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</si>
  <si>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</si>
  <si>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пр. Ленина, 119 А</t>
  </si>
  <si>
    <t xml:space="preserve">                    Представитель собственников  - старший по дому Журавлева Р.Ф.,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</si>
  <si>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Старший по дому                                                               Р.Ф.Журавлева</t>
  </si>
  <si>
    <t>Претензий по управлению нет (да)</t>
  </si>
  <si>
    <t>ОТЧЕТ
о выполненных работах в 2008 году по договору управления МКД 
№65 от 28.03.2008 г., заключенного между ООО "ОЖКС №6" и собственниками многоквартирного дома
по адресу:  пр-т Ленина, 119 а.</t>
  </si>
  <si>
    <t xml:space="preserve">            Представитель собственников  - старший по дому Журавлева Р.Ф.,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</si>
  <si>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</si>
  <si>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</si>
  <si>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</si>
  <si>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</si>
  <si>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</si>
  <si>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</si>
  <si>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</si>
  <si>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</si>
  <si>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</si>
  <si>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</si>
  <si>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</si>
  <si>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</si>
  <si>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</si>
  <si>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</si>
  <si>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</si>
  <si>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</si>
  <si>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</si>
  <si>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</si>
  <si>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</si>
  <si>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</si>
  <si>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</si>
  <si>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</si>
  <si>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</si>
  <si>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</si>
  <si>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</si>
  <si>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</si>
  <si>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</si>
  <si>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</si>
  <si>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</si>
  <si>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</si>
  <si>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</si>
  <si>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</si>
  <si>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</si>
  <si>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</si>
  <si>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</si>
  <si>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</si>
  <si>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</si>
  <si>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</si>
  <si>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</si>
  <si>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</si>
  <si>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</si>
  <si>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</si>
  <si>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</si>
  <si>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</si>
  <si>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</si>
  <si>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</si>
  <si>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</si>
  <si>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</si>
  <si>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</si>
  <si>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</si>
  <si>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</si>
  <si>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</si>
  <si>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</si>
  <si>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</si>
  <si>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</si>
  <si>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</si>
  <si>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</si>
  <si>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</si>
  <si>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</si>
  <si>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</si>
  <si>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</si>
  <si>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</si>
  <si>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</si>
  <si>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</si>
  <si>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</si>
  <si>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</si>
  <si>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</si>
  <si>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</si>
  <si>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</si>
  <si>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</si>
  <si>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</si>
  <si>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</si>
  <si>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</si>
  <si>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Старший по дому                                                               И.Н. Горелов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</si>
  <si>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</si>
  <si>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</si>
  <si>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</si>
  <si>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</si>
  <si>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</si>
  <si>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</si>
  <si>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</si>
  <si>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</si>
  <si>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</si>
  <si>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</si>
  <si>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</si>
  <si>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</si>
  <si>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</si>
  <si>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</si>
  <si>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</si>
  <si>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</si>
  <si>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</si>
  <si>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</si>
  <si>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</si>
  <si>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</si>
  <si>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</si>
  <si>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</si>
  <si>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</si>
  <si>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</si>
  <si>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</si>
  <si>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</si>
  <si>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</si>
  <si>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</si>
  <si>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</si>
  <si>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</si>
  <si>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ОТЧЕТ
за  2009 г. о выполненнии условий  договора управления МКД
№ 65/6 от 28.03.2008 г.,  заключенного между ООО "ОЖКС №6" 
и собственниками многоквартирного дома
по адресу:  пр. Ленина, 119 А</t>
  </si>
  <si>
    <t>ОТЧЕТ
за  2010 г. о выполненнии условий  договора управления МКД 
№ 65/6 от 28.03.2008 г.,  заключенного между ООО "ОЖКС №6" 
и собственниками многоквартирного дома
по адресу:  пр. Ленина, 119 А</t>
  </si>
  <si>
    <t>ОТЧЕТ
по  договору управления МКД 
№ 65/6 от 28.03.2008 г.,  заключенного между ООО "ОЖКС №6" 
и собственниками многоквартирного дома
по адресу:  пр. Ленина, 119 А</t>
  </si>
  <si>
    <t xml:space="preserve">                 Представитель собственников  - старший по дому Журавлева Р.Ф.,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</si>
  <si>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        Л.И. Никашина                               </t>
  </si>
  <si>
    <t>Смета 
расходов и доходов  на  2011 г.
согласно договора управления МКД 
№65/6 от 28.03.2008 г.,  заключенного между ООО "ОЖКС №6" 
и собственниками многоквартирного дома
по адресу:  пр. Ленина, 119 А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</si>
  <si>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</si>
  <si>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</si>
  <si>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</si>
  <si>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</si>
  <si>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</si>
  <si>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</si>
  <si>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</si>
  <si>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</si>
  <si>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Л.И. Никашина                           </t>
  </si>
  <si>
    <t>результат
 за год
(+эконом., 
-перерасх.)</t>
  </si>
  <si>
    <t>ОТЧЕТ
за  2011 г. о выполненнии условий  договора управления МКД 
№ 65/6 от 28.03.2008 г.,  заключенного между ООО "ОЖКС №6" 
и собственниками многоквартирного дома
по адресу:  пр. Ленина, 119 А</t>
  </si>
  <si>
    <t xml:space="preserve">                 Представитель собственников  - старший по дому 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</si>
  <si>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</si>
  <si>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________________________</t>
  </si>
  <si>
    <t>Смета 
расходов и доходов  на  2012 г.
согласно договора управления МКД 
№65/6 от 28.03.2008 г.,  заключенного между ООО "ОЖКС №6" 
и собственниками многоквартирного дома
по адресу:  пр. Ленина, 119 А</t>
  </si>
  <si>
    <t xml:space="preserve"> Текущий ремонт общего имущества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</si>
  <si>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</si>
  <si>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Расчет стоимости договора и тарифа 1 м2 на 2012 г.</t>
  </si>
  <si>
    <t>по плану работ</t>
  </si>
  <si>
    <t xml:space="preserve">                       Представитель Собственников</t>
  </si>
  <si>
    <t xml:space="preserve">                           ________________________</t>
  </si>
  <si>
    <t xml:space="preserve">Директор ООО "Октябрьский ЖКС № 6"                       </t>
  </si>
  <si>
    <t>_________________ Л.И. Никашина</t>
  </si>
  <si>
    <t xml:space="preserve">Капитальный ремонт  </t>
  </si>
  <si>
    <t>Тариф с 1 сентября 2012 г. - 11,21 руб., капитальный ремонт - 0,80 руб.</t>
  </si>
  <si>
    <t>Тариф 
на 
1 кв.м. сентябрь-декабрь 2012г.
руб.</t>
  </si>
  <si>
    <t>Стоимость работ
сентябрь-декабрь 2012г.             руб.</t>
  </si>
  <si>
    <t>5=гр.4*Sдома*4мес.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</si>
  <si>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</si>
  <si>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</si>
  <si>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t>1.1.</t>
  </si>
  <si>
    <t>1.2.</t>
  </si>
  <si>
    <t>1.3.</t>
  </si>
  <si>
    <t>Приложение №7 к Договору                                                                       на оказание услуг и выполнение работ                                                           по содержанию, текущему и капитальному ремонту                                                                 общего имущества МКД № ____ от __________20__г.</t>
  </si>
  <si>
    <t xml:space="preserve">                 Представитель собственников  - старший по дому 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01.01.12г. по 31.08.12г.</t>
  </si>
  <si>
    <t>S жилых и нежилых помещений, кв.м</t>
  </si>
  <si>
    <t>Тариф 01.01.12г-30.06.12г</t>
  </si>
  <si>
    <t>кол-во мес. по дог. управления</t>
  </si>
  <si>
    <t>Сбор, вывоз бытового мусора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</si>
  <si>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</si>
  <si>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</si>
  <si>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</si>
  <si>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Тариф 01.07.12г.-31.08.12г.</t>
  </si>
  <si>
    <t xml:space="preserve">Финансовый результат за с 01.01.12г. по 31.08.12г. (+ экономия,- перерасход)                                                      </t>
  </si>
  <si>
    <t>ОТЧЕТ
с 01.01.12г. по 31.08.12 г. о выполненнии условий  договора управления МКД 
№ 65/6 от 28.03.2008 г.,  заключенного между ООО "ОЖКС №6" 
и собственниками многоквартирного дома
по адресу:  пр. Ленина, 119 А</t>
  </si>
  <si>
    <t>Исполнитель: Стыценкова И.А.</t>
  </si>
  <si>
    <t xml:space="preserve">Директор ООО "ОЖКС № 6"                                 </t>
  </si>
  <si>
    <t xml:space="preserve">____________ Л.И. Никашина                            </t>
  </si>
  <si>
    <t xml:space="preserve">Финансовый результат </t>
  </si>
  <si>
    <t>по договору управления подтверждаю:</t>
  </si>
  <si>
    <t>Старший по дому</t>
  </si>
  <si>
    <t>_______________/___________/</t>
  </si>
  <si>
    <t>Сумма 
с 01.01.12г по 31.08.12г.,
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</si>
</sst>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center" wrapText="1" shrinkToFit="1"/>
    </xf>
    <xf numFmtId="164" fontId="9" fillId="0" borderId="15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Border="1" applyAlignment="1">
      <alignment horizontal="justify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2">
      <selection activeCell="F27" sqref="F27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375" style="0" customWidth="1"/>
    <col min="5" max="5" width="12.875" style="0" hidden="1" customWidth="1"/>
    <col min="6" max="6" width="10.625" style="0" bestFit="1" customWidth="1"/>
  </cols>
  <sheetData>
    <row r="1" spans="1:4" ht="104.25" customHeight="1">
      <c r="A1" s="179" t="s">
        <v>87</v>
      </c>
      <c r="B1" s="180"/>
      <c r="C1" s="180"/>
      <c r="D1" s="180"/>
    </row>
    <row r="2" spans="1:5" ht="80.25" customHeight="1">
      <c r="A2" s="181" t="s">
        <v>88</v>
      </c>
      <c r="B2" s="182"/>
      <c r="C2" s="182"/>
      <c r="D2" s="182"/>
      <c r="E2" t="s">
        <v>80</v>
      </c>
    </row>
    <row r="3" spans="1:5" ht="32.25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4433</v>
      </c>
      <c r="E5" s="58">
        <v>4433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90</v>
      </c>
      <c r="E6" s="59">
        <v>90</v>
      </c>
    </row>
    <row r="7" spans="1:5" ht="16.5" customHeight="1">
      <c r="A7" s="55" t="s">
        <v>102</v>
      </c>
      <c r="B7" s="56" t="s">
        <v>103</v>
      </c>
      <c r="C7" s="49"/>
      <c r="D7" s="58"/>
      <c r="E7" s="58"/>
    </row>
    <row r="8" spans="1:5" ht="15.75">
      <c r="A8" s="60" t="s">
        <v>104</v>
      </c>
      <c r="B8" s="56" t="s">
        <v>105</v>
      </c>
      <c r="C8" s="49"/>
      <c r="D8" s="58"/>
      <c r="E8" s="58"/>
    </row>
    <row r="9" spans="1:5" ht="17.25" customHeight="1">
      <c r="A9" s="61"/>
      <c r="B9" s="34" t="s">
        <v>106</v>
      </c>
      <c r="C9" s="49" t="s">
        <v>107</v>
      </c>
      <c r="D9" s="58">
        <v>289719.21</v>
      </c>
      <c r="E9" s="58">
        <v>289719.21</v>
      </c>
    </row>
    <row r="10" spans="1:5" ht="16.5" customHeight="1">
      <c r="A10" s="61"/>
      <c r="B10" s="34" t="s">
        <v>108</v>
      </c>
      <c r="C10" s="49" t="s">
        <v>107</v>
      </c>
      <c r="D10" s="58">
        <v>279143.26</v>
      </c>
      <c r="E10" s="58">
        <v>279143.26</v>
      </c>
    </row>
    <row r="11" spans="1:5" ht="15.75">
      <c r="A11" s="61"/>
      <c r="B11" s="56" t="s">
        <v>109</v>
      </c>
      <c r="C11" s="57" t="s">
        <v>107</v>
      </c>
      <c r="D11" s="62">
        <f>D9-D10</f>
        <v>10575.950000000012</v>
      </c>
      <c r="E11" s="62">
        <f>E9-E10</f>
        <v>10575.950000000012</v>
      </c>
    </row>
    <row r="12" spans="1:5" ht="18" customHeight="1">
      <c r="A12" s="60" t="s">
        <v>110</v>
      </c>
      <c r="B12" s="56" t="s">
        <v>111</v>
      </c>
      <c r="C12" s="49"/>
      <c r="D12" s="58"/>
      <c r="E12" s="58"/>
    </row>
    <row r="13" spans="1:5" ht="15.75">
      <c r="A13" s="61"/>
      <c r="B13" s="34" t="s">
        <v>106</v>
      </c>
      <c r="C13" s="49" t="s">
        <v>107</v>
      </c>
      <c r="D13" s="58">
        <v>17028.47</v>
      </c>
      <c r="E13" s="58"/>
    </row>
    <row r="14" spans="1:5" ht="15.75" customHeight="1">
      <c r="A14" s="61"/>
      <c r="B14" s="34" t="s">
        <v>108</v>
      </c>
      <c r="C14" s="49" t="s">
        <v>107</v>
      </c>
      <c r="D14" s="58">
        <v>16519.98</v>
      </c>
      <c r="E14" s="58"/>
    </row>
    <row r="15" spans="1:5" ht="15.75" customHeight="1">
      <c r="A15" s="61"/>
      <c r="B15" s="56" t="s">
        <v>109</v>
      </c>
      <c r="C15" s="57" t="s">
        <v>107</v>
      </c>
      <c r="D15" s="62">
        <f>D13-D14</f>
        <v>508.4900000000016</v>
      </c>
      <c r="E15" s="62">
        <f>E13-E14</f>
        <v>0</v>
      </c>
    </row>
    <row r="16" spans="1:5" ht="15.75" customHeight="1">
      <c r="A16" s="60" t="s">
        <v>112</v>
      </c>
      <c r="B16" s="56" t="s">
        <v>113</v>
      </c>
      <c r="C16" s="49"/>
      <c r="D16" s="58"/>
      <c r="E16" s="58"/>
    </row>
    <row r="17" spans="1:5" ht="15.75" customHeight="1">
      <c r="A17" s="61"/>
      <c r="B17" s="34" t="s">
        <v>106</v>
      </c>
      <c r="C17" s="49" t="s">
        <v>107</v>
      </c>
      <c r="D17" s="58">
        <v>6372.61</v>
      </c>
      <c r="E17" s="58">
        <v>6372.61</v>
      </c>
    </row>
    <row r="18" spans="1:5" ht="15.75" customHeight="1">
      <c r="A18" s="61"/>
      <c r="B18" s="34" t="s">
        <v>108</v>
      </c>
      <c r="C18" s="49" t="s">
        <v>107</v>
      </c>
      <c r="D18" s="58">
        <v>5920.48</v>
      </c>
      <c r="E18" s="58">
        <v>5920.48</v>
      </c>
    </row>
    <row r="19" spans="1:5" ht="15.75" customHeight="1">
      <c r="A19" s="61"/>
      <c r="B19" s="56" t="s">
        <v>109</v>
      </c>
      <c r="C19" s="57" t="s">
        <v>107</v>
      </c>
      <c r="D19" s="62">
        <f>D17-D18</f>
        <v>452.1300000000001</v>
      </c>
      <c r="E19" s="62">
        <f>E17-E18</f>
        <v>452.1300000000001</v>
      </c>
    </row>
    <row r="20" spans="1:5" ht="15" customHeight="1">
      <c r="A20" s="61"/>
      <c r="B20" s="56" t="s">
        <v>114</v>
      </c>
      <c r="C20" s="49" t="s">
        <v>107</v>
      </c>
      <c r="D20" s="62">
        <f>D9+D13+D17</f>
        <v>313120.29000000004</v>
      </c>
      <c r="E20" s="62">
        <f>E9+E13+E17</f>
        <v>296091.82</v>
      </c>
    </row>
    <row r="21" spans="1:5" ht="15.75">
      <c r="A21" s="61"/>
      <c r="B21" s="56" t="s">
        <v>115</v>
      </c>
      <c r="C21" s="49" t="s">
        <v>107</v>
      </c>
      <c r="D21" s="62">
        <f>D11+D15+D19</f>
        <v>11536.570000000014</v>
      </c>
      <c r="E21" s="62">
        <f>E11+E15+E19</f>
        <v>11028.080000000013</v>
      </c>
    </row>
    <row r="22" spans="1:5" ht="15.75" customHeight="1">
      <c r="A22" s="55" t="s">
        <v>116</v>
      </c>
      <c r="B22" s="63" t="s">
        <v>117</v>
      </c>
      <c r="C22" s="49"/>
      <c r="D22" s="58"/>
      <c r="E22" s="58"/>
    </row>
    <row r="23" spans="1:5" ht="94.5">
      <c r="A23" s="64" t="s">
        <v>118</v>
      </c>
      <c r="B23" s="65" t="s">
        <v>119</v>
      </c>
      <c r="C23" s="57" t="s">
        <v>107</v>
      </c>
      <c r="D23" s="62">
        <f>D9*0.11</f>
        <v>31869.113100000002</v>
      </c>
      <c r="E23" s="62">
        <f>E9*0.11</f>
        <v>31869.113100000002</v>
      </c>
    </row>
    <row r="24" spans="1:6" ht="94.5" customHeight="1">
      <c r="A24" s="64" t="s">
        <v>120</v>
      </c>
      <c r="B24" s="65" t="s">
        <v>121</v>
      </c>
      <c r="C24" s="57" t="s">
        <v>107</v>
      </c>
      <c r="D24" s="62">
        <f>D9*0.7</f>
        <v>202803.44700000001</v>
      </c>
      <c r="E24" s="62">
        <f>E9*0.7</f>
        <v>202803.44700000001</v>
      </c>
      <c r="F24" t="s">
        <v>80</v>
      </c>
    </row>
    <row r="25" spans="1:5" ht="19.5" customHeight="1">
      <c r="A25" s="64" t="s">
        <v>122</v>
      </c>
      <c r="B25" s="56" t="s">
        <v>123</v>
      </c>
      <c r="C25" s="57" t="s">
        <v>107</v>
      </c>
      <c r="D25" s="66">
        <v>150810</v>
      </c>
      <c r="E25" s="66">
        <v>150810</v>
      </c>
    </row>
    <row r="26" spans="1:5" ht="18.75" customHeight="1">
      <c r="A26" s="67" t="s">
        <v>124</v>
      </c>
      <c r="B26" s="56" t="s">
        <v>125</v>
      </c>
      <c r="C26" s="57"/>
      <c r="D26" s="66">
        <v>368550</v>
      </c>
      <c r="E26" s="66">
        <v>0</v>
      </c>
    </row>
    <row r="27" spans="1:6" ht="17.25" customHeight="1">
      <c r="A27" s="61"/>
      <c r="B27" s="56" t="s">
        <v>126</v>
      </c>
      <c r="C27" s="57" t="s">
        <v>107</v>
      </c>
      <c r="D27" s="62">
        <f>D23+D24+D25+D26</f>
        <v>754032.5601</v>
      </c>
      <c r="E27" s="62">
        <f>E23+E24+E25+E26</f>
        <v>385482.5601</v>
      </c>
      <c r="F27" s="115"/>
    </row>
    <row r="28" spans="1:5" ht="17.25" customHeight="1">
      <c r="A28" s="60" t="s">
        <v>62</v>
      </c>
      <c r="B28" s="56" t="s">
        <v>127</v>
      </c>
      <c r="C28" s="49" t="s">
        <v>107</v>
      </c>
      <c r="D28" s="58">
        <f>D20-D27</f>
        <v>-440912.27009999997</v>
      </c>
      <c r="E28" s="58">
        <f>E20-E27</f>
        <v>-89390.7401</v>
      </c>
    </row>
    <row r="29" spans="1:5" ht="31.5">
      <c r="A29" s="64" t="s">
        <v>128</v>
      </c>
      <c r="B29" s="65" t="s">
        <v>129</v>
      </c>
      <c r="C29" s="49" t="s">
        <v>107</v>
      </c>
      <c r="D29" s="58">
        <f>D28-D21</f>
        <v>-452448.8401</v>
      </c>
      <c r="E29" s="58">
        <f>E28-E21</f>
        <v>-100418.82010000001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183" t="s">
        <v>85</v>
      </c>
      <c r="C34" s="183"/>
      <c r="D34" s="73"/>
    </row>
    <row r="35" spans="2:4" ht="17.25" customHeight="1">
      <c r="B35" s="184" t="s">
        <v>130</v>
      </c>
      <c r="C35" s="184"/>
      <c r="D35" s="184"/>
    </row>
    <row r="38" ht="15.75">
      <c r="B38" t="s">
        <v>80</v>
      </c>
    </row>
    <row r="41" ht="15.75">
      <c r="B41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8">
      <selection activeCell="H37" sqref="H37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79" t="s">
        <v>193</v>
      </c>
      <c r="B1" s="179"/>
      <c r="C1" s="179"/>
      <c r="D1" s="179"/>
      <c r="E1" s="179"/>
      <c r="F1" s="179"/>
      <c r="G1" s="179"/>
      <c r="H1" s="179"/>
    </row>
    <row r="2" spans="1:8" ht="63" customHeight="1">
      <c r="A2" s="188" t="s">
        <v>84</v>
      </c>
      <c r="B2" s="188"/>
      <c r="C2" s="188"/>
      <c r="D2" s="188"/>
      <c r="E2" s="188"/>
      <c r="F2" s="188"/>
      <c r="G2" s="188"/>
      <c r="H2" s="188"/>
    </row>
    <row r="3" spans="1:6" ht="18.75">
      <c r="A3" s="1" t="s">
        <v>82</v>
      </c>
      <c r="B3" s="1" t="s">
        <v>83</v>
      </c>
      <c r="C3" s="2"/>
      <c r="D3" s="2" t="s">
        <v>0</v>
      </c>
      <c r="E3" s="26">
        <v>4433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90</v>
      </c>
      <c r="F4" s="2"/>
    </row>
    <row r="5" spans="2:7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92"/>
      <c r="C7" s="192"/>
      <c r="D7" s="192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93" t="s">
        <v>65</v>
      </c>
      <c r="C8" s="194"/>
      <c r="D8" s="194"/>
      <c r="E8" s="194"/>
      <c r="F8" s="195"/>
      <c r="G8" s="15"/>
      <c r="H8" s="16"/>
    </row>
    <row r="9" spans="1:8" ht="15.75">
      <c r="A9" s="22"/>
      <c r="B9" s="185" t="s">
        <v>66</v>
      </c>
      <c r="C9" s="185"/>
      <c r="D9" s="185"/>
      <c r="E9" s="185"/>
      <c r="F9" s="185"/>
      <c r="G9" s="15"/>
      <c r="H9" s="30">
        <v>41264.11</v>
      </c>
    </row>
    <row r="10" spans="1:8" ht="15.75">
      <c r="A10" s="22">
        <v>1</v>
      </c>
      <c r="B10" s="189" t="s">
        <v>63</v>
      </c>
      <c r="C10" s="189"/>
      <c r="D10" s="189"/>
      <c r="E10" s="189"/>
      <c r="F10" s="189"/>
      <c r="G10" s="15"/>
      <c r="H10" s="34">
        <v>450246.98</v>
      </c>
    </row>
    <row r="11" spans="1:8" ht="15.75">
      <c r="A11" s="22"/>
      <c r="B11" s="189" t="s">
        <v>67</v>
      </c>
      <c r="C11" s="189"/>
      <c r="D11" s="189"/>
      <c r="E11" s="189"/>
      <c r="F11" s="189"/>
      <c r="G11" s="15"/>
      <c r="H11" s="40">
        <f>H10*0.9</f>
        <v>405222.282</v>
      </c>
    </row>
    <row r="12" spans="1:8" ht="15.75" customHeight="1">
      <c r="A12" s="22"/>
      <c r="B12" s="189" t="s">
        <v>68</v>
      </c>
      <c r="C12" s="189"/>
      <c r="D12" s="189"/>
      <c r="E12" s="189"/>
      <c r="F12" s="189"/>
      <c r="G12" s="15"/>
      <c r="H12" s="40">
        <f>H10-H11</f>
        <v>45024.697999999975</v>
      </c>
    </row>
    <row r="13" spans="1:8" ht="15.75" customHeight="1">
      <c r="A13" s="22">
        <v>2</v>
      </c>
      <c r="B13" s="189" t="s">
        <v>64</v>
      </c>
      <c r="C13" s="189"/>
      <c r="D13" s="189"/>
      <c r="E13" s="189"/>
      <c r="F13" s="189"/>
      <c r="G13" s="15"/>
      <c r="H13" s="34">
        <v>444056.15</v>
      </c>
    </row>
    <row r="14" spans="1:8" ht="15.75" customHeight="1">
      <c r="A14" s="22">
        <v>3</v>
      </c>
      <c r="B14" s="189" t="s">
        <v>69</v>
      </c>
      <c r="C14" s="189"/>
      <c r="D14" s="189"/>
      <c r="E14" s="189"/>
      <c r="F14" s="189"/>
      <c r="G14" s="15"/>
      <c r="H14" s="40">
        <f>H10-H13</f>
        <v>6190.829999999958</v>
      </c>
    </row>
    <row r="15" spans="1:8" ht="15.75" customHeight="1">
      <c r="A15" s="22">
        <v>4</v>
      </c>
      <c r="B15" s="185" t="s">
        <v>70</v>
      </c>
      <c r="C15" s="185"/>
      <c r="D15" s="185"/>
      <c r="E15" s="185"/>
      <c r="F15" s="185"/>
      <c r="G15" s="15"/>
      <c r="H15" s="41">
        <f>H9+H10-H13</f>
        <v>47454.939999999944</v>
      </c>
    </row>
    <row r="16" spans="1:8" ht="18.75">
      <c r="A16" s="22">
        <v>5</v>
      </c>
      <c r="B16" s="190" t="s">
        <v>74</v>
      </c>
      <c r="C16" s="190"/>
      <c r="D16" s="190"/>
      <c r="E16" s="190"/>
      <c r="F16" s="190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91" t="s">
        <v>18</v>
      </c>
      <c r="C18" s="191"/>
      <c r="D18" s="191"/>
      <c r="E18" s="6" t="s">
        <v>32</v>
      </c>
      <c r="F18" s="6" t="s">
        <v>24</v>
      </c>
      <c r="G18" s="12">
        <v>0.9</v>
      </c>
      <c r="H18" s="44">
        <f>ROUND(G18*$E$3*12,2)</f>
        <v>47876.4</v>
      </c>
    </row>
    <row r="19" spans="1:8" ht="15.75">
      <c r="A19" s="29" t="s">
        <v>42</v>
      </c>
      <c r="B19" s="191" t="s">
        <v>17</v>
      </c>
      <c r="C19" s="191"/>
      <c r="D19" s="191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13830.96</v>
      </c>
    </row>
    <row r="20" spans="1:8" ht="15.75">
      <c r="A20" s="28" t="s">
        <v>43</v>
      </c>
      <c r="B20" s="196" t="s">
        <v>23</v>
      </c>
      <c r="C20" s="196"/>
      <c r="D20" s="196"/>
      <c r="E20" s="7" t="s">
        <v>8</v>
      </c>
      <c r="F20" s="7" t="s">
        <v>20</v>
      </c>
      <c r="G20" s="12">
        <v>0.32</v>
      </c>
      <c r="H20" s="44">
        <f t="shared" si="0"/>
        <v>17022.72</v>
      </c>
    </row>
    <row r="21" spans="1:8" ht="33" customHeight="1">
      <c r="A21" s="29" t="s">
        <v>44</v>
      </c>
      <c r="B21" s="175" t="s">
        <v>31</v>
      </c>
      <c r="C21" s="175"/>
      <c r="D21" s="175"/>
      <c r="E21" s="8" t="s">
        <v>9</v>
      </c>
      <c r="F21" s="8" t="s">
        <v>10</v>
      </c>
      <c r="G21" s="12">
        <v>0.46</v>
      </c>
      <c r="H21" s="44">
        <f t="shared" si="0"/>
        <v>24470.16</v>
      </c>
    </row>
    <row r="22" spans="1:8" ht="63">
      <c r="A22" s="28" t="s">
        <v>47</v>
      </c>
      <c r="B22" s="196" t="s">
        <v>27</v>
      </c>
      <c r="C22" s="196"/>
      <c r="D22" s="196"/>
      <c r="E22" s="7" t="s">
        <v>34</v>
      </c>
      <c r="F22" s="7" t="s">
        <v>25</v>
      </c>
      <c r="G22" s="12">
        <v>0.11</v>
      </c>
      <c r="H22" s="44">
        <f t="shared" si="0"/>
        <v>5851.56</v>
      </c>
    </row>
    <row r="23" spans="1:8" ht="31.5">
      <c r="A23" s="29" t="s">
        <v>45</v>
      </c>
      <c r="B23" s="196" t="s">
        <v>11</v>
      </c>
      <c r="C23" s="196"/>
      <c r="D23" s="196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196" t="s">
        <v>26</v>
      </c>
      <c r="C24" s="186"/>
      <c r="D24" s="186"/>
      <c r="E24" s="9" t="s">
        <v>13</v>
      </c>
      <c r="F24" s="9" t="s">
        <v>14</v>
      </c>
      <c r="G24" s="12">
        <v>0.04</v>
      </c>
      <c r="H24" s="44">
        <f t="shared" si="0"/>
        <v>2127.84</v>
      </c>
    </row>
    <row r="25" spans="1:8" ht="36.75" customHeight="1">
      <c r="A25" s="29" t="s">
        <v>48</v>
      </c>
      <c r="B25" s="177" t="s">
        <v>77</v>
      </c>
      <c r="C25" s="178"/>
      <c r="D25" s="171"/>
      <c r="E25" s="9" t="s">
        <v>13</v>
      </c>
      <c r="F25" s="38" t="s">
        <v>81</v>
      </c>
      <c r="G25" s="12">
        <v>0.22</v>
      </c>
      <c r="H25" s="44">
        <f t="shared" si="0"/>
        <v>11703.12</v>
      </c>
    </row>
    <row r="26" spans="1:8" ht="31.5">
      <c r="A26" s="28" t="s">
        <v>49</v>
      </c>
      <c r="B26" s="196" t="s">
        <v>35</v>
      </c>
      <c r="C26" s="196"/>
      <c r="D26" s="196"/>
      <c r="E26" s="6" t="s">
        <v>36</v>
      </c>
      <c r="F26" s="39" t="s">
        <v>81</v>
      </c>
      <c r="G26" s="12">
        <v>2.5</v>
      </c>
      <c r="H26" s="44">
        <f t="shared" si="0"/>
        <v>132990</v>
      </c>
    </row>
    <row r="27" spans="1:8" ht="31.5">
      <c r="A27" s="29" t="s">
        <v>50</v>
      </c>
      <c r="B27" s="191" t="s">
        <v>15</v>
      </c>
      <c r="C27" s="191"/>
      <c r="D27" s="191"/>
      <c r="E27" s="6" t="s">
        <v>36</v>
      </c>
      <c r="F27" s="39" t="s">
        <v>81</v>
      </c>
      <c r="G27" s="12">
        <v>0.38</v>
      </c>
      <c r="H27" s="44">
        <f t="shared" si="0"/>
        <v>20214.48</v>
      </c>
    </row>
    <row r="28" spans="1:8" ht="31.5">
      <c r="A28" s="28" t="s">
        <v>51</v>
      </c>
      <c r="B28" s="172" t="s">
        <v>37</v>
      </c>
      <c r="C28" s="173"/>
      <c r="D28" s="173"/>
      <c r="E28" s="6" t="s">
        <v>36</v>
      </c>
      <c r="F28" s="39" t="s">
        <v>81</v>
      </c>
      <c r="G28" s="36">
        <f>1.82-G29-G30</f>
        <v>1.82</v>
      </c>
      <c r="H28" s="44">
        <f t="shared" si="0"/>
        <v>96816.72</v>
      </c>
    </row>
    <row r="29" spans="1:8" ht="31.5">
      <c r="A29" s="29" t="s">
        <v>52</v>
      </c>
      <c r="B29" s="196" t="s">
        <v>28</v>
      </c>
      <c r="C29" s="196"/>
      <c r="D29" s="196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196" t="s">
        <v>29</v>
      </c>
      <c r="C30" s="196"/>
      <c r="D30" s="196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86" t="s">
        <v>21</v>
      </c>
      <c r="C31" s="186"/>
      <c r="D31" s="186"/>
      <c r="E31" s="6" t="s">
        <v>36</v>
      </c>
      <c r="F31" s="39" t="s">
        <v>81</v>
      </c>
      <c r="G31" s="9">
        <v>0.88</v>
      </c>
      <c r="H31" s="44">
        <f t="shared" si="0"/>
        <v>46812.48</v>
      </c>
    </row>
    <row r="32" spans="1:8" ht="15.75">
      <c r="A32" s="22" t="s">
        <v>55</v>
      </c>
      <c r="B32" s="176" t="s">
        <v>30</v>
      </c>
      <c r="C32" s="176"/>
      <c r="D32" s="176"/>
      <c r="E32" s="14"/>
      <c r="F32" s="39"/>
      <c r="G32" s="20">
        <f>SUM(G18:G31)</f>
        <v>7.890000000000001</v>
      </c>
      <c r="H32" s="45">
        <f>SUM(H18:H31)</f>
        <v>419716.43999999994</v>
      </c>
    </row>
    <row r="33" spans="1:8" ht="15.75">
      <c r="A33" s="22" t="s">
        <v>56</v>
      </c>
      <c r="B33" s="185" t="s">
        <v>38</v>
      </c>
      <c r="C33" s="186"/>
      <c r="D33" s="186"/>
      <c r="E33" s="14"/>
      <c r="F33" s="39" t="s">
        <v>81</v>
      </c>
      <c r="G33" s="23">
        <f>H33/E3/12</f>
        <v>1.7931799383412288</v>
      </c>
      <c r="H33" s="24">
        <v>95390</v>
      </c>
    </row>
    <row r="34" spans="1:8" ht="18.75">
      <c r="A34" s="25" t="s">
        <v>57</v>
      </c>
      <c r="B34" s="187" t="s">
        <v>76</v>
      </c>
      <c r="C34" s="187"/>
      <c r="D34" s="187"/>
      <c r="E34" s="187"/>
      <c r="F34" s="187"/>
      <c r="G34" s="20">
        <f>SUM(G32:G33)</f>
        <v>9.68317993834123</v>
      </c>
      <c r="H34" s="46">
        <f>SUM(H32:H33)</f>
        <v>515106.43999999994</v>
      </c>
    </row>
    <row r="35" spans="1:8" ht="18.75">
      <c r="A35" s="22" t="s">
        <v>62</v>
      </c>
      <c r="B35" s="198" t="s">
        <v>39</v>
      </c>
      <c r="C35" s="199"/>
      <c r="D35" s="199"/>
      <c r="E35" s="199"/>
      <c r="F35" s="199"/>
      <c r="G35" s="200"/>
      <c r="H35" s="31"/>
    </row>
    <row r="36" spans="1:8" ht="15.75" customHeight="1">
      <c r="A36" s="22" t="s">
        <v>58</v>
      </c>
      <c r="B36" s="174" t="s">
        <v>71</v>
      </c>
      <c r="C36" s="170"/>
      <c r="D36" s="170"/>
      <c r="E36" s="170"/>
      <c r="F36" s="170"/>
      <c r="G36" s="197"/>
      <c r="H36" s="32">
        <v>-100418.82</v>
      </c>
    </row>
    <row r="37" spans="1:8" ht="15.75" customHeight="1">
      <c r="A37" s="22" t="s">
        <v>59</v>
      </c>
      <c r="B37" s="174" t="s">
        <v>72</v>
      </c>
      <c r="C37" s="170"/>
      <c r="D37" s="170"/>
      <c r="E37" s="170"/>
      <c r="F37" s="170"/>
      <c r="G37" s="197"/>
      <c r="H37" s="47">
        <f>H13-H34</f>
        <v>-71050.28999999992</v>
      </c>
    </row>
    <row r="38" spans="1:8" ht="15.75" customHeight="1">
      <c r="A38" s="22" t="s">
        <v>60</v>
      </c>
      <c r="B38" s="174" t="s">
        <v>73</v>
      </c>
      <c r="C38" s="170"/>
      <c r="D38" s="170"/>
      <c r="E38" s="170"/>
      <c r="F38" s="170"/>
      <c r="G38" s="197"/>
      <c r="H38" s="47">
        <f>H36+H37</f>
        <v>-171469.10999999993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85</v>
      </c>
      <c r="C45" s="48"/>
      <c r="D45" s="48"/>
      <c r="E45" s="48"/>
      <c r="F45" s="48"/>
    </row>
    <row r="46" spans="2:4" ht="15.75" customHeight="1">
      <c r="B46" s="184" t="s">
        <v>86</v>
      </c>
      <c r="C46" s="184"/>
      <c r="D46" s="184"/>
    </row>
  </sheetData>
  <sheetProtection/>
  <mergeCells count="34">
    <mergeCell ref="B36:G36"/>
    <mergeCell ref="B37:G37"/>
    <mergeCell ref="B38:G38"/>
    <mergeCell ref="B35:G35"/>
    <mergeCell ref="B20:D20"/>
    <mergeCell ref="B21:D21"/>
    <mergeCell ref="B31:D31"/>
    <mergeCell ref="B32:D32"/>
    <mergeCell ref="B25:D25"/>
    <mergeCell ref="B26:D26"/>
    <mergeCell ref="B28:D28"/>
    <mergeCell ref="B30:D30"/>
    <mergeCell ref="B29:D29"/>
    <mergeCell ref="B27:D27"/>
    <mergeCell ref="B46:D46"/>
    <mergeCell ref="B7:D7"/>
    <mergeCell ref="B12:F12"/>
    <mergeCell ref="B8:F8"/>
    <mergeCell ref="B9:F9"/>
    <mergeCell ref="B10:F10"/>
    <mergeCell ref="B11:F11"/>
    <mergeCell ref="B24:D24"/>
    <mergeCell ref="B22:D22"/>
    <mergeCell ref="B23:D23"/>
    <mergeCell ref="B33:D33"/>
    <mergeCell ref="B34:F34"/>
    <mergeCell ref="A1:H1"/>
    <mergeCell ref="A2:H2"/>
    <mergeCell ref="B13:F13"/>
    <mergeCell ref="B14:F14"/>
    <mergeCell ref="B15:F15"/>
    <mergeCell ref="B16:F16"/>
    <mergeCell ref="B18:D18"/>
    <mergeCell ref="B19:D19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9.375" style="0" hidden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79" t="s">
        <v>194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54" customHeight="1">
      <c r="A2" s="203" t="s">
        <v>196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8.75">
      <c r="A3" s="1" t="s">
        <v>82</v>
      </c>
      <c r="B3" s="1" t="s">
        <v>83</v>
      </c>
      <c r="C3" s="2"/>
      <c r="D3" s="2" t="s">
        <v>0</v>
      </c>
      <c r="E3" s="26">
        <v>4433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90</v>
      </c>
      <c r="F4" s="2"/>
      <c r="J4"/>
    </row>
    <row r="5" spans="2:10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0" ht="39" customHeight="1">
      <c r="A7" s="21" t="s">
        <v>61</v>
      </c>
      <c r="B7" s="204" t="s">
        <v>137</v>
      </c>
      <c r="C7" s="205"/>
      <c r="D7" s="206"/>
      <c r="E7" s="11" t="s">
        <v>6</v>
      </c>
      <c r="F7" s="11" t="s">
        <v>7</v>
      </c>
      <c r="G7" s="86" t="s">
        <v>22</v>
      </c>
      <c r="H7" s="207" t="s">
        <v>138</v>
      </c>
      <c r="I7" s="208"/>
      <c r="J7" s="209"/>
    </row>
    <row r="8" spans="1:10" ht="15.75">
      <c r="A8" s="22">
        <v>1</v>
      </c>
      <c r="B8" s="193"/>
      <c r="C8" s="194"/>
      <c r="D8" s="194"/>
      <c r="E8" s="194"/>
      <c r="F8" s="195"/>
      <c r="G8" s="87"/>
      <c r="H8" s="88" t="s">
        <v>139</v>
      </c>
      <c r="I8" s="89" t="s">
        <v>140</v>
      </c>
      <c r="J8" s="89" t="s">
        <v>141</v>
      </c>
    </row>
    <row r="9" spans="1:10" ht="15.75">
      <c r="A9" s="22"/>
      <c r="B9" s="193" t="s">
        <v>142</v>
      </c>
      <c r="C9" s="194"/>
      <c r="D9" s="194"/>
      <c r="E9" s="194"/>
      <c r="F9" s="195"/>
      <c r="G9" s="90"/>
      <c r="H9" s="90"/>
      <c r="I9" s="57"/>
      <c r="J9" s="89"/>
    </row>
    <row r="10" spans="1:10" ht="15.75">
      <c r="A10" s="91"/>
      <c r="B10" s="189" t="s">
        <v>143</v>
      </c>
      <c r="C10" s="189"/>
      <c r="D10" s="189"/>
      <c r="E10" s="189"/>
      <c r="F10" s="189"/>
      <c r="G10" s="15"/>
      <c r="H10" s="92">
        <v>458770.93</v>
      </c>
      <c r="I10" s="77"/>
      <c r="J10" s="58">
        <f>H10+I10</f>
        <v>458770.93</v>
      </c>
    </row>
    <row r="11" spans="1:10" ht="15.75">
      <c r="A11" s="91"/>
      <c r="B11" s="189" t="s">
        <v>144</v>
      </c>
      <c r="C11" s="189"/>
      <c r="D11" s="189"/>
      <c r="E11" s="189"/>
      <c r="F11" s="189"/>
      <c r="G11" s="15"/>
      <c r="H11" s="16">
        <v>26563.34</v>
      </c>
      <c r="I11" s="77"/>
      <c r="J11" s="58">
        <f>H11+I11</f>
        <v>26563.34</v>
      </c>
    </row>
    <row r="12" spans="1:10" ht="15.75">
      <c r="A12" s="22"/>
      <c r="B12" s="189" t="s">
        <v>145</v>
      </c>
      <c r="C12" s="189"/>
      <c r="D12" s="189"/>
      <c r="E12" s="189"/>
      <c r="F12" s="189"/>
      <c r="G12" s="15"/>
      <c r="H12" s="92"/>
      <c r="I12" s="77"/>
      <c r="J12" s="58">
        <f>H12+I12</f>
        <v>0</v>
      </c>
    </row>
    <row r="13" spans="1:10" ht="15.75">
      <c r="A13" s="22"/>
      <c r="B13" s="189" t="s">
        <v>146</v>
      </c>
      <c r="C13" s="189"/>
      <c r="D13" s="189"/>
      <c r="E13" s="189"/>
      <c r="F13" s="189"/>
      <c r="G13" s="15"/>
      <c r="H13" s="92"/>
      <c r="I13" s="93"/>
      <c r="J13" s="58">
        <f>H13+I13</f>
        <v>0</v>
      </c>
    </row>
    <row r="14" spans="1:10" ht="15.75">
      <c r="A14" s="22"/>
      <c r="B14" s="185" t="s">
        <v>147</v>
      </c>
      <c r="C14" s="185"/>
      <c r="D14" s="185"/>
      <c r="E14" s="185"/>
      <c r="F14" s="185"/>
      <c r="G14" s="15"/>
      <c r="H14" s="41">
        <f>SUM(H10:H12)</f>
        <v>485334.27</v>
      </c>
      <c r="I14" s="94">
        <f>SUM(I10:I12)</f>
        <v>0</v>
      </c>
      <c r="J14" s="95">
        <f>SUM(J10:J13)</f>
        <v>485334.27</v>
      </c>
    </row>
    <row r="15" spans="1:10" ht="18.75">
      <c r="A15" s="22">
        <v>2</v>
      </c>
      <c r="B15" s="190" t="s">
        <v>74</v>
      </c>
      <c r="C15" s="190"/>
      <c r="D15" s="190"/>
      <c r="E15" s="190"/>
      <c r="F15" s="190"/>
      <c r="G15" s="15"/>
      <c r="H15" s="92"/>
      <c r="I15" s="77"/>
      <c r="J15" s="49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201" t="s">
        <v>134</v>
      </c>
      <c r="C17" s="201"/>
      <c r="D17" s="201"/>
      <c r="E17" s="97" t="s">
        <v>32</v>
      </c>
      <c r="F17" s="80" t="s">
        <v>24</v>
      </c>
      <c r="G17" s="81">
        <v>0.92</v>
      </c>
      <c r="H17" s="98">
        <f>ROUND(G17*$E$3*12,2)</f>
        <v>48940.32</v>
      </c>
      <c r="I17" s="99">
        <f>$I$12*0.08</f>
        <v>0</v>
      </c>
      <c r="J17" s="100">
        <f>SUM(H17:I17)</f>
        <v>48940.32</v>
      </c>
    </row>
    <row r="18" spans="1:10" ht="17.25" customHeight="1">
      <c r="A18" s="22"/>
      <c r="B18" s="202" t="s">
        <v>17</v>
      </c>
      <c r="C18" s="202"/>
      <c r="D18" s="202"/>
      <c r="E18" s="97" t="s">
        <v>32</v>
      </c>
      <c r="F18" s="80" t="s">
        <v>19</v>
      </c>
      <c r="G18" s="81">
        <v>0.26</v>
      </c>
      <c r="H18" s="98">
        <f>ROUND(G18*$E$3*12,2)</f>
        <v>13830.96</v>
      </c>
      <c r="I18" s="99">
        <f>$I$12*0.02</f>
        <v>0</v>
      </c>
      <c r="J18" s="100">
        <f aca="true" t="shared" si="0" ref="J18:J37">SUM(H18:I18)</f>
        <v>13830.96</v>
      </c>
    </row>
    <row r="19" spans="1:10" ht="20.25" customHeight="1">
      <c r="A19" s="22"/>
      <c r="B19" s="210" t="s">
        <v>23</v>
      </c>
      <c r="C19" s="210"/>
      <c r="D19" s="210"/>
      <c r="E19" s="101" t="s">
        <v>149</v>
      </c>
      <c r="F19" s="82" t="s">
        <v>20</v>
      </c>
      <c r="G19" s="81">
        <v>0.35</v>
      </c>
      <c r="H19" s="98">
        <f>J19-I19</f>
        <v>11089.1</v>
      </c>
      <c r="I19" s="99">
        <f>$I$12*0.07</f>
        <v>0</v>
      </c>
      <c r="J19" s="102">
        <v>11089.1</v>
      </c>
    </row>
    <row r="20" spans="1:10" ht="20.25" customHeight="1">
      <c r="A20" s="96"/>
      <c r="B20" s="201" t="s">
        <v>31</v>
      </c>
      <c r="C20" s="201"/>
      <c r="D20" s="201"/>
      <c r="E20" s="103" t="s">
        <v>9</v>
      </c>
      <c r="F20" s="83" t="s">
        <v>10</v>
      </c>
      <c r="G20" s="81">
        <v>0.46</v>
      </c>
      <c r="H20" s="98">
        <f>ROUND(G20*$E$3*12,2)</f>
        <v>24470.16</v>
      </c>
      <c r="I20" s="99">
        <f>$I$12*0.04</f>
        <v>0</v>
      </c>
      <c r="J20" s="100">
        <f t="shared" si="0"/>
        <v>24470.16</v>
      </c>
    </row>
    <row r="21" spans="1:10" ht="60.75" customHeight="1">
      <c r="A21" s="22"/>
      <c r="B21" s="210" t="s">
        <v>27</v>
      </c>
      <c r="C21" s="210"/>
      <c r="D21" s="210"/>
      <c r="E21" s="101" t="s">
        <v>150</v>
      </c>
      <c r="F21" s="82" t="s">
        <v>25</v>
      </c>
      <c r="G21" s="81">
        <v>0.11</v>
      </c>
      <c r="H21" s="98">
        <f>J21-I21</f>
        <v>5012.64</v>
      </c>
      <c r="I21" s="99">
        <f>$I$12*0.01</f>
        <v>0</v>
      </c>
      <c r="J21" s="102">
        <v>5012.64</v>
      </c>
    </row>
    <row r="22" spans="1:10" ht="20.25" customHeight="1">
      <c r="A22" s="96"/>
      <c r="B22" s="210" t="s">
        <v>11</v>
      </c>
      <c r="C22" s="210"/>
      <c r="D22" s="210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210" t="s">
        <v>26</v>
      </c>
      <c r="C23" s="220"/>
      <c r="D23" s="220"/>
      <c r="E23" s="104" t="s">
        <v>13</v>
      </c>
      <c r="F23" s="79" t="s">
        <v>14</v>
      </c>
      <c r="G23" s="81">
        <v>0.04</v>
      </c>
      <c r="H23" s="98">
        <f>J23-I23</f>
        <v>6320.34</v>
      </c>
      <c r="I23" s="99">
        <f>$I$12*0.003</f>
        <v>0</v>
      </c>
      <c r="J23" s="102">
        <v>6320.34</v>
      </c>
    </row>
    <row r="24" spans="1:10" ht="28.5" customHeight="1">
      <c r="A24" s="22"/>
      <c r="B24" s="210" t="s">
        <v>151</v>
      </c>
      <c r="C24" s="210"/>
      <c r="D24" s="210"/>
      <c r="E24" s="97" t="s">
        <v>36</v>
      </c>
      <c r="F24" s="39" t="s">
        <v>81</v>
      </c>
      <c r="G24" s="81">
        <v>1.87</v>
      </c>
      <c r="H24" s="98">
        <f aca="true" t="shared" si="1" ref="H24:H29">ROUND(G24*$E$3*12,2)</f>
        <v>99476.52</v>
      </c>
      <c r="I24" s="99">
        <f>$I$12*0.19</f>
        <v>0</v>
      </c>
      <c r="J24" s="100">
        <f t="shared" si="0"/>
        <v>99476.52</v>
      </c>
    </row>
    <row r="25" spans="1:10" ht="26.25" customHeight="1">
      <c r="A25" s="22"/>
      <c r="B25" s="202" t="s">
        <v>15</v>
      </c>
      <c r="C25" s="202"/>
      <c r="D25" s="202"/>
      <c r="E25" s="97" t="s">
        <v>36</v>
      </c>
      <c r="F25" s="39" t="s">
        <v>81</v>
      </c>
      <c r="G25" s="81">
        <v>0.38</v>
      </c>
      <c r="H25" s="105">
        <f>ROUND(G25*$E$3/8*7*12,2)</f>
        <v>17687.67</v>
      </c>
      <c r="I25" s="99">
        <v>0</v>
      </c>
      <c r="J25" s="100">
        <f t="shared" si="0"/>
        <v>17687.67</v>
      </c>
    </row>
    <row r="26" spans="1:10" ht="30" customHeight="1">
      <c r="A26" s="22"/>
      <c r="B26" s="221" t="s">
        <v>37</v>
      </c>
      <c r="C26" s="218"/>
      <c r="D26" s="219"/>
      <c r="E26" s="97" t="s">
        <v>36</v>
      </c>
      <c r="F26" s="39" t="s">
        <v>81</v>
      </c>
      <c r="G26" s="36">
        <f>2.97-G27-G28</f>
        <v>2.97</v>
      </c>
      <c r="H26" s="105">
        <f t="shared" si="1"/>
        <v>157992.12</v>
      </c>
      <c r="I26" s="106">
        <f>$I$12*0.22</f>
        <v>0</v>
      </c>
      <c r="J26" s="100">
        <f t="shared" si="0"/>
        <v>157992.12</v>
      </c>
    </row>
    <row r="27" spans="1:10" ht="26.25" customHeight="1">
      <c r="A27" s="96"/>
      <c r="B27" s="210" t="s">
        <v>152</v>
      </c>
      <c r="C27" s="210"/>
      <c r="D27" s="210"/>
      <c r="E27" s="97" t="s">
        <v>36</v>
      </c>
      <c r="F27" s="39" t="s">
        <v>81</v>
      </c>
      <c r="G27" s="36">
        <v>0</v>
      </c>
      <c r="H27" s="105">
        <f t="shared" si="1"/>
        <v>0</v>
      </c>
      <c r="I27" s="106"/>
      <c r="J27" s="100">
        <f t="shared" si="0"/>
        <v>0</v>
      </c>
    </row>
    <row r="28" spans="1:10" ht="17.25" customHeight="1">
      <c r="A28" s="22"/>
      <c r="B28" s="210" t="s">
        <v>153</v>
      </c>
      <c r="C28" s="210"/>
      <c r="D28" s="210"/>
      <c r="E28" s="101" t="s">
        <v>9</v>
      </c>
      <c r="F28" s="39" t="s">
        <v>81</v>
      </c>
      <c r="G28" s="36">
        <v>0</v>
      </c>
      <c r="H28" s="105">
        <f t="shared" si="1"/>
        <v>0</v>
      </c>
      <c r="I28" s="106"/>
      <c r="J28" s="100">
        <f t="shared" si="0"/>
        <v>0</v>
      </c>
    </row>
    <row r="29" spans="1:10" ht="17.25" customHeight="1">
      <c r="A29" s="22"/>
      <c r="B29" s="220" t="s">
        <v>21</v>
      </c>
      <c r="C29" s="220"/>
      <c r="D29" s="220"/>
      <c r="E29" s="101" t="s">
        <v>9</v>
      </c>
      <c r="F29" s="39" t="s">
        <v>81</v>
      </c>
      <c r="G29" s="79">
        <v>0.92</v>
      </c>
      <c r="H29" s="98">
        <f t="shared" si="1"/>
        <v>48940.32</v>
      </c>
      <c r="I29" s="99">
        <f>$I$12*0.1</f>
        <v>0</v>
      </c>
      <c r="J29" s="100">
        <f t="shared" si="0"/>
        <v>48940.32</v>
      </c>
    </row>
    <row r="30" spans="1:10" ht="21.75" customHeight="1">
      <c r="A30" s="22"/>
      <c r="B30" s="214" t="s">
        <v>154</v>
      </c>
      <c r="C30" s="215"/>
      <c r="D30" s="216"/>
      <c r="E30" s="101" t="s">
        <v>9</v>
      </c>
      <c r="F30" s="39"/>
      <c r="G30" s="79"/>
      <c r="H30" s="105"/>
      <c r="I30" s="93"/>
      <c r="J30" s="107"/>
    </row>
    <row r="31" spans="1:10" ht="27.75" customHeight="1">
      <c r="A31" s="22"/>
      <c r="B31" s="214" t="s">
        <v>155</v>
      </c>
      <c r="C31" s="215"/>
      <c r="D31" s="216"/>
      <c r="E31" s="97" t="s">
        <v>36</v>
      </c>
      <c r="F31" s="39"/>
      <c r="G31" s="79"/>
      <c r="H31" s="105"/>
      <c r="I31" s="93"/>
      <c r="J31" s="107"/>
    </row>
    <row r="32" spans="1:10" ht="15.75">
      <c r="A32" s="22"/>
      <c r="B32" s="217"/>
      <c r="C32" s="218"/>
      <c r="D32" s="219"/>
      <c r="E32" s="101"/>
      <c r="F32" s="39"/>
      <c r="G32" s="79"/>
      <c r="H32" s="105"/>
      <c r="I32" s="93"/>
      <c r="J32" s="107"/>
    </row>
    <row r="33" spans="1:10" ht="15.75">
      <c r="A33" s="22"/>
      <c r="B33" s="217"/>
      <c r="C33" s="218"/>
      <c r="D33" s="219"/>
      <c r="E33" s="101"/>
      <c r="F33" s="39"/>
      <c r="G33" s="79"/>
      <c r="H33" s="105"/>
      <c r="I33" s="93"/>
      <c r="J33" s="107"/>
    </row>
    <row r="34" spans="1:10" ht="15.75">
      <c r="A34" s="22"/>
      <c r="B34" s="176" t="s">
        <v>30</v>
      </c>
      <c r="C34" s="176"/>
      <c r="D34" s="176"/>
      <c r="E34" s="14"/>
      <c r="F34" s="39"/>
      <c r="G34" s="20">
        <f>SUM(G17:G29)</f>
        <v>8.28</v>
      </c>
      <c r="H34" s="45">
        <f>SUM(H17:H33)</f>
        <v>433760.15</v>
      </c>
      <c r="I34" s="108">
        <f>SUM(I17:I33)</f>
        <v>0</v>
      </c>
      <c r="J34" s="45">
        <f>SUM(J17:J33)</f>
        <v>433760.15</v>
      </c>
    </row>
    <row r="35" spans="1:10" ht="15" customHeight="1">
      <c r="A35" s="22" t="s">
        <v>156</v>
      </c>
      <c r="B35" s="211" t="s">
        <v>157</v>
      </c>
      <c r="C35" s="212"/>
      <c r="D35" s="212"/>
      <c r="E35" s="213"/>
      <c r="F35" s="39" t="s">
        <v>81</v>
      </c>
      <c r="G35" s="23">
        <f>H35/E3/12</f>
        <v>4.475524475524476</v>
      </c>
      <c r="H35" s="109">
        <v>238080</v>
      </c>
      <c r="I35" s="110"/>
      <c r="J35" s="95">
        <f t="shared" si="0"/>
        <v>238080</v>
      </c>
    </row>
    <row r="36" spans="1:10" ht="14.25" customHeight="1">
      <c r="A36" s="25"/>
      <c r="B36" s="222" t="s">
        <v>76</v>
      </c>
      <c r="C36" s="222"/>
      <c r="D36" s="222"/>
      <c r="E36" s="222"/>
      <c r="F36" s="222"/>
      <c r="G36" s="20">
        <f>SUM(G34:G35)</f>
        <v>12.755524475524474</v>
      </c>
      <c r="H36" s="46">
        <f>SUM(H34:H35)</f>
        <v>671840.15</v>
      </c>
      <c r="I36" s="111">
        <f>SUM(I34:I35)</f>
        <v>0</v>
      </c>
      <c r="J36" s="111">
        <f>SUM(J34:J35)</f>
        <v>671840.15</v>
      </c>
    </row>
    <row r="37" spans="1:10" ht="15.75">
      <c r="A37" s="22" t="s">
        <v>158</v>
      </c>
      <c r="B37" s="223" t="s">
        <v>159</v>
      </c>
      <c r="C37" s="223"/>
      <c r="D37" s="223"/>
      <c r="E37" s="223"/>
      <c r="F37" s="223"/>
      <c r="G37" s="23"/>
      <c r="H37" s="112"/>
      <c r="I37" s="112">
        <v>0</v>
      </c>
      <c r="J37" s="113">
        <f t="shared" si="0"/>
        <v>0</v>
      </c>
    </row>
    <row r="38" spans="1:10" ht="24.75" customHeight="1">
      <c r="A38" s="25"/>
      <c r="B38" s="222" t="s">
        <v>160</v>
      </c>
      <c r="C38" s="222"/>
      <c r="D38" s="222"/>
      <c r="E38" s="222"/>
      <c r="F38" s="222"/>
      <c r="G38" s="20">
        <f>SUM(G36:G37)</f>
        <v>12.755524475524474</v>
      </c>
      <c r="H38" s="46">
        <f>SUM(H36:H37)</f>
        <v>671840.15</v>
      </c>
      <c r="I38" s="111">
        <f>SUM(I36:I37)</f>
        <v>0</v>
      </c>
      <c r="J38" s="111">
        <f>SUM(J36:J37)</f>
        <v>671840.15</v>
      </c>
    </row>
    <row r="39" spans="1:10" ht="27" customHeight="1">
      <c r="A39" s="22">
        <v>3</v>
      </c>
      <c r="B39" s="174" t="s">
        <v>161</v>
      </c>
      <c r="C39" s="170"/>
      <c r="D39" s="170"/>
      <c r="E39" s="170"/>
      <c r="F39" s="170"/>
      <c r="G39" s="197"/>
      <c r="H39" s="98">
        <f>H14-H38</f>
        <v>-186505.88</v>
      </c>
      <c r="I39" s="98">
        <f>I14-I38</f>
        <v>0</v>
      </c>
      <c r="J39" s="95">
        <f>J14-J38</f>
        <v>-186505.88</v>
      </c>
    </row>
    <row r="40" spans="2:6" ht="15.75">
      <c r="B40" s="33"/>
      <c r="F40" s="33"/>
    </row>
    <row r="41" spans="2:9" ht="36" customHeight="1">
      <c r="B41" s="224" t="s">
        <v>197</v>
      </c>
      <c r="C41" s="224"/>
      <c r="D41" s="224"/>
      <c r="E41" s="224"/>
      <c r="F41" s="224"/>
      <c r="G41" s="224"/>
      <c r="H41" s="224"/>
      <c r="I41" s="224"/>
    </row>
    <row r="42" spans="2:4" ht="25.5" customHeight="1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10" ht="15.75">
      <c r="B44" s="48" t="s">
        <v>162</v>
      </c>
      <c r="C44" s="48"/>
      <c r="D44" s="48"/>
      <c r="E44" s="48"/>
      <c r="F44" s="48"/>
      <c r="J44"/>
    </row>
    <row r="45" spans="2:4" ht="15.75" customHeight="1">
      <c r="B45" s="184" t="s">
        <v>86</v>
      </c>
      <c r="C45" s="184"/>
      <c r="D45" s="184"/>
    </row>
  </sheetData>
  <sheetProtection/>
  <mergeCells count="37">
    <mergeCell ref="B36:F36"/>
    <mergeCell ref="B29:D29"/>
    <mergeCell ref="B30:D30"/>
    <mergeCell ref="B45:D45"/>
    <mergeCell ref="B37:F37"/>
    <mergeCell ref="B38:F38"/>
    <mergeCell ref="B39:G39"/>
    <mergeCell ref="B41:I41"/>
    <mergeCell ref="B33:D33"/>
    <mergeCell ref="B34:D34"/>
    <mergeCell ref="B35:E35"/>
    <mergeCell ref="B31:D31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8:F8"/>
    <mergeCell ref="B9:F9"/>
    <mergeCell ref="B12:F12"/>
    <mergeCell ref="B13:F13"/>
    <mergeCell ref="B10:F10"/>
    <mergeCell ref="B11:F11"/>
    <mergeCell ref="B19:D19"/>
    <mergeCell ref="B20:D20"/>
    <mergeCell ref="B14:F14"/>
    <mergeCell ref="B15:F15"/>
    <mergeCell ref="B17:D17"/>
    <mergeCell ref="B18:D18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75390625" style="0" customWidth="1"/>
    <col min="6" max="6" width="17.75390625" style="0" hidden="1" customWidth="1"/>
    <col min="7" max="7" width="3.50390625" style="0" hidden="1" customWidth="1"/>
    <col min="8" max="8" width="13.25390625" style="0" customWidth="1"/>
  </cols>
  <sheetData>
    <row r="1" spans="1:8" ht="120" customHeight="1">
      <c r="A1" s="179" t="s">
        <v>198</v>
      </c>
      <c r="B1" s="179"/>
      <c r="C1" s="179"/>
      <c r="D1" s="179"/>
      <c r="E1" s="179"/>
      <c r="F1" s="179"/>
      <c r="G1" s="179"/>
      <c r="H1" s="179"/>
    </row>
    <row r="2" spans="1:6" ht="18.75">
      <c r="A2" s="1" t="s">
        <v>82</v>
      </c>
      <c r="B2" s="1" t="s">
        <v>83</v>
      </c>
      <c r="C2" s="2"/>
      <c r="D2" s="2" t="s">
        <v>0</v>
      </c>
      <c r="E2" s="26">
        <v>4433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6.75" customHeight="1">
      <c r="A6" s="74" t="s">
        <v>61</v>
      </c>
      <c r="B6" s="228" t="s">
        <v>137</v>
      </c>
      <c r="C6" s="229"/>
      <c r="D6" s="230"/>
      <c r="E6" s="75" t="s">
        <v>6</v>
      </c>
      <c r="F6" s="75" t="s">
        <v>7</v>
      </c>
      <c r="G6" s="117" t="s">
        <v>199</v>
      </c>
      <c r="H6" s="118" t="s">
        <v>131</v>
      </c>
    </row>
    <row r="7" spans="1:8" ht="15.75" customHeight="1">
      <c r="A7" s="76">
        <v>1</v>
      </c>
      <c r="B7" s="231" t="s">
        <v>132</v>
      </c>
      <c r="C7" s="231"/>
      <c r="D7" s="231"/>
      <c r="E7" s="231"/>
      <c r="F7" s="231"/>
      <c r="G7" s="77"/>
      <c r="H7" s="119"/>
    </row>
    <row r="8" spans="1:8" ht="15.75" customHeight="1">
      <c r="A8" s="76"/>
      <c r="B8" s="185" t="s">
        <v>200</v>
      </c>
      <c r="C8" s="185"/>
      <c r="D8" s="185"/>
      <c r="E8" s="185"/>
      <c r="F8" s="185"/>
      <c r="G8" s="23">
        <f>G30</f>
        <v>10.580000000000002</v>
      </c>
      <c r="H8" s="119">
        <f>ROUND($E$2*G8*12,0)</f>
        <v>562814</v>
      </c>
    </row>
    <row r="9" spans="1:8" ht="15.75" customHeight="1">
      <c r="A9" s="76"/>
      <c r="B9" s="232" t="s">
        <v>133</v>
      </c>
      <c r="C9" s="232"/>
      <c r="D9" s="232"/>
      <c r="E9" s="232"/>
      <c r="F9" s="232"/>
      <c r="G9" s="22">
        <v>0.76</v>
      </c>
      <c r="H9" s="119">
        <f>ROUND($E$2*G9*12,0)</f>
        <v>40429</v>
      </c>
    </row>
    <row r="10" spans="1:8" ht="18.75" customHeight="1">
      <c r="A10" s="76">
        <v>2</v>
      </c>
      <c r="B10" s="190" t="s">
        <v>74</v>
      </c>
      <c r="C10" s="190"/>
      <c r="D10" s="190"/>
      <c r="E10" s="190"/>
      <c r="F10" s="190"/>
      <c r="G10" s="79"/>
      <c r="H10" s="119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19"/>
    </row>
    <row r="12" spans="1:8" ht="15.75" customHeight="1">
      <c r="A12" s="120"/>
      <c r="B12" s="227" t="s">
        <v>201</v>
      </c>
      <c r="C12" s="227"/>
      <c r="D12" s="227"/>
      <c r="E12" s="97" t="s">
        <v>32</v>
      </c>
      <c r="F12" s="80" t="s">
        <v>24</v>
      </c>
      <c r="G12" s="81">
        <v>1.06</v>
      </c>
      <c r="H12" s="78">
        <f aca="true" t="shared" si="0" ref="H12:H30">ROUND($E$2*G12*12,0)</f>
        <v>56388</v>
      </c>
    </row>
    <row r="13" spans="1:8" ht="15.75" customHeight="1">
      <c r="A13" s="120"/>
      <c r="B13" s="227" t="s">
        <v>17</v>
      </c>
      <c r="C13" s="227"/>
      <c r="D13" s="227"/>
      <c r="E13" s="97" t="s">
        <v>32</v>
      </c>
      <c r="F13" s="80" t="s">
        <v>19</v>
      </c>
      <c r="G13" s="81">
        <v>0.28</v>
      </c>
      <c r="H13" s="78">
        <f t="shared" si="0"/>
        <v>14895</v>
      </c>
    </row>
    <row r="14" spans="1:8" ht="15.75" customHeight="1">
      <c r="A14" s="120"/>
      <c r="B14" s="225" t="s">
        <v>23</v>
      </c>
      <c r="C14" s="225"/>
      <c r="D14" s="225"/>
      <c r="E14" s="101" t="s">
        <v>149</v>
      </c>
      <c r="F14" s="82" t="s">
        <v>20</v>
      </c>
      <c r="G14" s="81">
        <v>0.39</v>
      </c>
      <c r="H14" s="78">
        <f t="shared" si="0"/>
        <v>20746</v>
      </c>
    </row>
    <row r="15" spans="1:8" ht="18.75" customHeight="1">
      <c r="A15" s="120"/>
      <c r="B15" s="233" t="s">
        <v>31</v>
      </c>
      <c r="C15" s="233"/>
      <c r="D15" s="233"/>
      <c r="E15" s="103" t="s">
        <v>9</v>
      </c>
      <c r="F15" s="83" t="s">
        <v>10</v>
      </c>
      <c r="G15" s="81">
        <v>0.51</v>
      </c>
      <c r="H15" s="78">
        <f t="shared" si="0"/>
        <v>27130</v>
      </c>
    </row>
    <row r="16" spans="1:8" ht="51">
      <c r="A16" s="120"/>
      <c r="B16" s="225" t="s">
        <v>27</v>
      </c>
      <c r="C16" s="225"/>
      <c r="D16" s="225"/>
      <c r="E16" s="101" t="s">
        <v>150</v>
      </c>
      <c r="F16" s="82" t="s">
        <v>25</v>
      </c>
      <c r="G16" s="81">
        <v>0.12</v>
      </c>
      <c r="H16" s="78">
        <f t="shared" si="0"/>
        <v>6384</v>
      </c>
    </row>
    <row r="17" spans="1:8" ht="31.5" customHeight="1">
      <c r="A17" s="120"/>
      <c r="B17" s="225" t="s">
        <v>11</v>
      </c>
      <c r="C17" s="225"/>
      <c r="D17" s="225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20"/>
      <c r="B18" s="225" t="s">
        <v>26</v>
      </c>
      <c r="C18" s="226"/>
      <c r="D18" s="226"/>
      <c r="E18" s="104" t="s">
        <v>13</v>
      </c>
      <c r="F18" s="79" t="s">
        <v>202</v>
      </c>
      <c r="G18" s="81">
        <v>0.05</v>
      </c>
      <c r="H18" s="78">
        <f t="shared" si="0"/>
        <v>2660</v>
      </c>
    </row>
    <row r="19" spans="1:8" ht="15.75" customHeight="1">
      <c r="A19" s="120"/>
      <c r="B19" s="225" t="s">
        <v>151</v>
      </c>
      <c r="C19" s="225"/>
      <c r="D19" s="225"/>
      <c r="E19" s="97" t="s">
        <v>36</v>
      </c>
      <c r="F19" s="82" t="s">
        <v>81</v>
      </c>
      <c r="G19" s="81">
        <v>2.15</v>
      </c>
      <c r="H19" s="78">
        <f t="shared" si="0"/>
        <v>114371</v>
      </c>
    </row>
    <row r="20" spans="1:8" ht="33" customHeight="1">
      <c r="A20" s="120"/>
      <c r="B20" s="227" t="s">
        <v>15</v>
      </c>
      <c r="C20" s="227"/>
      <c r="D20" s="227"/>
      <c r="E20" s="97" t="s">
        <v>135</v>
      </c>
      <c r="F20" s="82" t="s">
        <v>81</v>
      </c>
      <c r="G20" s="81">
        <v>0.44</v>
      </c>
      <c r="H20" s="78">
        <f t="shared" si="0"/>
        <v>23406</v>
      </c>
    </row>
    <row r="21" spans="1:8" ht="25.5">
      <c r="A21" s="120"/>
      <c r="B21" s="225" t="s">
        <v>37</v>
      </c>
      <c r="C21" s="226"/>
      <c r="D21" s="226"/>
      <c r="E21" s="97" t="s">
        <v>36</v>
      </c>
      <c r="F21" s="82" t="s">
        <v>81</v>
      </c>
      <c r="G21" s="81">
        <f>3.46-G22-G23</f>
        <v>3.46</v>
      </c>
      <c r="H21" s="78">
        <f t="shared" si="0"/>
        <v>184058</v>
      </c>
    </row>
    <row r="22" spans="1:8" ht="31.5" customHeight="1">
      <c r="A22" s="120"/>
      <c r="B22" s="225" t="s">
        <v>203</v>
      </c>
      <c r="C22" s="225"/>
      <c r="D22" s="225"/>
      <c r="E22" s="101" t="s">
        <v>9</v>
      </c>
      <c r="F22" s="82" t="s">
        <v>81</v>
      </c>
      <c r="G22" s="81">
        <v>0</v>
      </c>
      <c r="H22" s="78">
        <f t="shared" si="0"/>
        <v>0</v>
      </c>
    </row>
    <row r="23" spans="1:8" ht="15.75" customHeight="1">
      <c r="A23" s="120"/>
      <c r="B23" s="225" t="s">
        <v>153</v>
      </c>
      <c r="C23" s="225"/>
      <c r="D23" s="225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20"/>
      <c r="B24" s="226" t="s">
        <v>21</v>
      </c>
      <c r="C24" s="226"/>
      <c r="D24" s="226"/>
      <c r="E24" s="97" t="s">
        <v>36</v>
      </c>
      <c r="F24" s="82" t="s">
        <v>81</v>
      </c>
      <c r="G24" s="81">
        <v>1.06</v>
      </c>
      <c r="H24" s="78">
        <f t="shared" si="0"/>
        <v>56388</v>
      </c>
    </row>
    <row r="25" spans="1:8" ht="15.75">
      <c r="A25" s="22"/>
      <c r="B25" s="214" t="s">
        <v>154</v>
      </c>
      <c r="C25" s="215"/>
      <c r="D25" s="216"/>
      <c r="E25" s="101" t="s">
        <v>9</v>
      </c>
      <c r="F25" s="82"/>
      <c r="G25" s="81"/>
      <c r="H25" s="78"/>
    </row>
    <row r="26" spans="1:8" ht="25.5">
      <c r="A26" s="22"/>
      <c r="B26" s="214" t="s">
        <v>155</v>
      </c>
      <c r="C26" s="215"/>
      <c r="D26" s="216"/>
      <c r="E26" s="97" t="s">
        <v>36</v>
      </c>
      <c r="F26" s="82"/>
      <c r="G26" s="81"/>
      <c r="H26" s="78"/>
    </row>
    <row r="27" spans="1:8" ht="31.5" customHeight="1">
      <c r="A27" s="120"/>
      <c r="B27" s="217"/>
      <c r="C27" s="218"/>
      <c r="D27" s="219"/>
      <c r="E27" s="97"/>
      <c r="F27" s="82"/>
      <c r="G27" s="81"/>
      <c r="H27" s="78"/>
    </row>
    <row r="28" spans="1:8" ht="15.75">
      <c r="A28" s="120"/>
      <c r="B28" s="234" t="s">
        <v>30</v>
      </c>
      <c r="C28" s="235"/>
      <c r="D28" s="236"/>
      <c r="E28" s="14"/>
      <c r="F28" s="82"/>
      <c r="G28" s="20">
        <f>SUM(G12:G27)</f>
        <v>9.520000000000001</v>
      </c>
      <c r="H28" s="78">
        <f t="shared" si="0"/>
        <v>506426</v>
      </c>
    </row>
    <row r="29" spans="1:8" ht="15.75">
      <c r="A29" s="76" t="s">
        <v>156</v>
      </c>
      <c r="B29" s="211" t="s">
        <v>204</v>
      </c>
      <c r="C29" s="212"/>
      <c r="D29" s="212"/>
      <c r="E29" s="213"/>
      <c r="F29" s="50" t="s">
        <v>136</v>
      </c>
      <c r="G29" s="23">
        <v>1.06</v>
      </c>
      <c r="H29" s="78">
        <f t="shared" si="0"/>
        <v>56388</v>
      </c>
    </row>
    <row r="30" spans="1:8" ht="15.75">
      <c r="A30" s="76"/>
      <c r="B30" s="237" t="s">
        <v>205</v>
      </c>
      <c r="C30" s="237"/>
      <c r="D30" s="237"/>
      <c r="E30" s="237"/>
      <c r="F30" s="237"/>
      <c r="G30" s="20">
        <f>SUM(G28:G29)</f>
        <v>10.580000000000002</v>
      </c>
      <c r="H30" s="121">
        <f t="shared" si="0"/>
        <v>562814</v>
      </c>
    </row>
    <row r="31" spans="1:9" ht="15.75" customHeight="1" thickBot="1">
      <c r="A31" s="122">
        <v>3</v>
      </c>
      <c r="B31" s="238" t="s">
        <v>206</v>
      </c>
      <c r="C31" s="239"/>
      <c r="D31" s="240"/>
      <c r="E31" s="123"/>
      <c r="F31" s="124" t="s">
        <v>136</v>
      </c>
      <c r="G31" s="84">
        <v>0.76</v>
      </c>
      <c r="H31" s="125">
        <f>ROUND($E$2*G31*12,0)</f>
        <v>40429</v>
      </c>
      <c r="I31" s="116"/>
    </row>
    <row r="32" ht="15.75" customHeight="1"/>
    <row r="33" spans="2:5" ht="15.75">
      <c r="B33" s="33" t="s">
        <v>207</v>
      </c>
      <c r="C33" s="33"/>
      <c r="D33" s="33"/>
      <c r="E33" s="33"/>
    </row>
  </sheetData>
  <sheetProtection/>
  <mergeCells count="26">
    <mergeCell ref="B28:D28"/>
    <mergeCell ref="B29:E29"/>
    <mergeCell ref="B30:F30"/>
    <mergeCell ref="B31:D31"/>
    <mergeCell ref="B8:F8"/>
    <mergeCell ref="B9:F9"/>
    <mergeCell ref="B10:F10"/>
    <mergeCell ref="B18:D18"/>
    <mergeCell ref="B14:D14"/>
    <mergeCell ref="B15:D15"/>
    <mergeCell ref="B19:D19"/>
    <mergeCell ref="B20:D20"/>
    <mergeCell ref="B25:D25"/>
    <mergeCell ref="A1:H1"/>
    <mergeCell ref="B6:D6"/>
    <mergeCell ref="B7:F7"/>
    <mergeCell ref="B17:D17"/>
    <mergeCell ref="B16:D16"/>
    <mergeCell ref="B12:D12"/>
    <mergeCell ref="B13:D13"/>
    <mergeCell ref="B26:D26"/>
    <mergeCell ref="B27:D27"/>
    <mergeCell ref="B21:D21"/>
    <mergeCell ref="B22:D22"/>
    <mergeCell ref="B23:D23"/>
    <mergeCell ref="B24:D24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7">
      <selection activeCell="G17" sqref="G17:G29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6.75390625" style="0" bestFit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79" t="s">
        <v>209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54" customHeight="1">
      <c r="A2" s="203" t="s">
        <v>210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8.75">
      <c r="A3" s="1" t="s">
        <v>82</v>
      </c>
      <c r="B3" s="1" t="s">
        <v>83</v>
      </c>
      <c r="C3" s="2"/>
      <c r="D3" s="2" t="s">
        <v>0</v>
      </c>
      <c r="E3" s="26">
        <v>4433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90</v>
      </c>
      <c r="F4" s="2"/>
      <c r="J4"/>
    </row>
    <row r="5" spans="2:10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0" ht="39" customHeight="1">
      <c r="A7" s="21" t="s">
        <v>61</v>
      </c>
      <c r="B7" s="204" t="s">
        <v>137</v>
      </c>
      <c r="C7" s="205"/>
      <c r="D7" s="206"/>
      <c r="E7" s="11" t="s">
        <v>6</v>
      </c>
      <c r="F7" s="11" t="s">
        <v>7</v>
      </c>
      <c r="G7" s="86" t="s">
        <v>22</v>
      </c>
      <c r="H7" s="207" t="s">
        <v>138</v>
      </c>
      <c r="I7" s="208"/>
      <c r="J7" s="209"/>
    </row>
    <row r="8" spans="1:10" ht="15.75">
      <c r="A8" s="22">
        <v>1</v>
      </c>
      <c r="B8" s="193"/>
      <c r="C8" s="194"/>
      <c r="D8" s="194"/>
      <c r="E8" s="194"/>
      <c r="F8" s="195"/>
      <c r="G8" s="87"/>
      <c r="H8" s="88" t="s">
        <v>139</v>
      </c>
      <c r="I8" s="89" t="s">
        <v>140</v>
      </c>
      <c r="J8" s="89" t="s">
        <v>141</v>
      </c>
    </row>
    <row r="9" spans="1:10" ht="15.75">
      <c r="A9" s="22"/>
      <c r="B9" s="193" t="s">
        <v>142</v>
      </c>
      <c r="C9" s="194"/>
      <c r="D9" s="194"/>
      <c r="E9" s="194"/>
      <c r="F9" s="195"/>
      <c r="G9" s="90"/>
      <c r="H9" s="90"/>
      <c r="I9" s="57"/>
      <c r="J9" s="89"/>
    </row>
    <row r="10" spans="1:10" ht="15.75">
      <c r="A10" s="91"/>
      <c r="B10" s="189" t="s">
        <v>143</v>
      </c>
      <c r="C10" s="189"/>
      <c r="D10" s="189"/>
      <c r="E10" s="189"/>
      <c r="F10" s="189"/>
      <c r="G10" s="15"/>
      <c r="H10" s="92">
        <v>547966.76</v>
      </c>
      <c r="I10" s="77"/>
      <c r="J10" s="58">
        <f>H10+I10</f>
        <v>547966.76</v>
      </c>
    </row>
    <row r="11" spans="1:10" ht="15.75">
      <c r="A11" s="91"/>
      <c r="B11" s="189" t="s">
        <v>144</v>
      </c>
      <c r="C11" s="189"/>
      <c r="D11" s="189"/>
      <c r="E11" s="189"/>
      <c r="F11" s="189"/>
      <c r="G11" s="15"/>
      <c r="H11" s="16">
        <v>31985.61</v>
      </c>
      <c r="I11" s="77"/>
      <c r="J11" s="58">
        <f>H11+I11</f>
        <v>31985.61</v>
      </c>
    </row>
    <row r="12" spans="1:10" ht="15.75">
      <c r="A12" s="22"/>
      <c r="B12" s="189" t="s">
        <v>145</v>
      </c>
      <c r="C12" s="189"/>
      <c r="D12" s="189"/>
      <c r="E12" s="189"/>
      <c r="F12" s="189"/>
      <c r="G12" s="15"/>
      <c r="H12" s="92"/>
      <c r="I12" s="77">
        <v>0</v>
      </c>
      <c r="J12" s="58">
        <f>H12+I12</f>
        <v>0</v>
      </c>
    </row>
    <row r="13" spans="1:10" ht="15.75">
      <c r="A13" s="22"/>
      <c r="B13" s="189" t="s">
        <v>146</v>
      </c>
      <c r="C13" s="189"/>
      <c r="D13" s="189"/>
      <c r="E13" s="189"/>
      <c r="F13" s="189"/>
      <c r="G13" s="15"/>
      <c r="H13" s="92">
        <v>0</v>
      </c>
      <c r="I13" s="93">
        <v>0</v>
      </c>
      <c r="J13" s="58">
        <f>H13+I13</f>
        <v>0</v>
      </c>
    </row>
    <row r="14" spans="1:10" ht="15.75">
      <c r="A14" s="22"/>
      <c r="B14" s="185" t="s">
        <v>147</v>
      </c>
      <c r="C14" s="185"/>
      <c r="D14" s="185"/>
      <c r="E14" s="185"/>
      <c r="F14" s="185"/>
      <c r="G14" s="15"/>
      <c r="H14" s="41">
        <f>SUM(H10:H13)</f>
        <v>579952.37</v>
      </c>
      <c r="I14" s="41">
        <f>SUM(I10:I13)</f>
        <v>0</v>
      </c>
      <c r="J14" s="41">
        <f>SUM(J10:J13)</f>
        <v>579952.37</v>
      </c>
    </row>
    <row r="15" spans="1:10" ht="18.75">
      <c r="A15" s="22">
        <v>2</v>
      </c>
      <c r="B15" s="190" t="s">
        <v>74</v>
      </c>
      <c r="C15" s="190"/>
      <c r="D15" s="190"/>
      <c r="E15" s="190"/>
      <c r="F15" s="190"/>
      <c r="G15" s="15"/>
      <c r="H15" s="92"/>
      <c r="I15" s="77"/>
      <c r="J15" s="49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201" t="s">
        <v>134</v>
      </c>
      <c r="C17" s="201"/>
      <c r="D17" s="201"/>
      <c r="E17" s="97" t="s">
        <v>32</v>
      </c>
      <c r="F17" s="80" t="s">
        <v>24</v>
      </c>
      <c r="G17" s="81">
        <v>1.06</v>
      </c>
      <c r="H17" s="98">
        <f>ROUND(G17*$E$3*12,2)</f>
        <v>56387.76</v>
      </c>
      <c r="I17" s="99">
        <f>$I$12*0.08</f>
        <v>0</v>
      </c>
      <c r="J17" s="100">
        <f>SUM(H17:I17)</f>
        <v>56387.76</v>
      </c>
    </row>
    <row r="18" spans="1:10" ht="17.25" customHeight="1">
      <c r="A18" s="22"/>
      <c r="B18" s="202" t="s">
        <v>17</v>
      </c>
      <c r="C18" s="202"/>
      <c r="D18" s="202"/>
      <c r="E18" s="97" t="s">
        <v>32</v>
      </c>
      <c r="F18" s="80" t="s">
        <v>19</v>
      </c>
      <c r="G18" s="81">
        <v>0.28</v>
      </c>
      <c r="H18" s="98">
        <f>ROUND(G18*$E$3*12,2)</f>
        <v>14894.88</v>
      </c>
      <c r="I18" s="99">
        <f>$I$12*0.02</f>
        <v>0</v>
      </c>
      <c r="J18" s="100">
        <f>SUM(H18:I18)</f>
        <v>14894.88</v>
      </c>
    </row>
    <row r="19" spans="1:10" ht="20.25" customHeight="1">
      <c r="A19" s="22"/>
      <c r="B19" s="210" t="s">
        <v>23</v>
      </c>
      <c r="C19" s="210"/>
      <c r="D19" s="210"/>
      <c r="E19" s="101" t="s">
        <v>149</v>
      </c>
      <c r="F19" s="82" t="s">
        <v>20</v>
      </c>
      <c r="G19" s="81">
        <v>0.39</v>
      </c>
      <c r="H19" s="98">
        <f>J19-I19</f>
        <v>11316.97</v>
      </c>
      <c r="I19" s="99">
        <f>$I$12*0.07</f>
        <v>0</v>
      </c>
      <c r="J19" s="102">
        <v>11316.97</v>
      </c>
    </row>
    <row r="20" spans="1:10" ht="20.25" customHeight="1">
      <c r="A20" s="96"/>
      <c r="B20" s="201" t="s">
        <v>31</v>
      </c>
      <c r="C20" s="201"/>
      <c r="D20" s="201"/>
      <c r="E20" s="103" t="s">
        <v>9</v>
      </c>
      <c r="F20" s="83" t="s">
        <v>10</v>
      </c>
      <c r="G20" s="81">
        <v>0.51</v>
      </c>
      <c r="H20" s="98">
        <f>ROUND(G20*$E$3*12,2)</f>
        <v>27129.96</v>
      </c>
      <c r="I20" s="99">
        <f>$I$12*0.04</f>
        <v>0</v>
      </c>
      <c r="J20" s="100">
        <f>SUM(H20:I20)</f>
        <v>27129.96</v>
      </c>
    </row>
    <row r="21" spans="1:10" ht="60.75" customHeight="1">
      <c r="A21" s="22"/>
      <c r="B21" s="210" t="s">
        <v>27</v>
      </c>
      <c r="C21" s="210"/>
      <c r="D21" s="210"/>
      <c r="E21" s="101" t="s">
        <v>150</v>
      </c>
      <c r="F21" s="82" t="s">
        <v>25</v>
      </c>
      <c r="G21" s="81">
        <v>0.12</v>
      </c>
      <c r="H21" s="98">
        <f>J21-I21</f>
        <v>6264.11</v>
      </c>
      <c r="I21" s="99">
        <f>$I$12*0.01</f>
        <v>0</v>
      </c>
      <c r="J21" s="102">
        <v>6264.11</v>
      </c>
    </row>
    <row r="22" spans="1:10" ht="20.25" customHeight="1">
      <c r="A22" s="96"/>
      <c r="B22" s="210" t="s">
        <v>11</v>
      </c>
      <c r="C22" s="210"/>
      <c r="D22" s="210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210" t="s">
        <v>26</v>
      </c>
      <c r="C23" s="220"/>
      <c r="D23" s="220"/>
      <c r="E23" s="104" t="s">
        <v>13</v>
      </c>
      <c r="F23" s="79" t="s">
        <v>14</v>
      </c>
      <c r="G23" s="81">
        <v>0.05</v>
      </c>
      <c r="H23" s="98">
        <f>J23-I23</f>
        <v>5326.2</v>
      </c>
      <c r="I23" s="99">
        <f>$I$12*0.003</f>
        <v>0</v>
      </c>
      <c r="J23" s="102">
        <v>5326.2</v>
      </c>
    </row>
    <row r="24" spans="1:10" ht="28.5" customHeight="1">
      <c r="A24" s="22"/>
      <c r="B24" s="210" t="s">
        <v>151</v>
      </c>
      <c r="C24" s="210"/>
      <c r="D24" s="210"/>
      <c r="E24" s="97" t="s">
        <v>36</v>
      </c>
      <c r="F24" s="39" t="s">
        <v>81</v>
      </c>
      <c r="G24" s="81">
        <v>2.15</v>
      </c>
      <c r="H24" s="98">
        <f aca="true" t="shared" si="0" ref="H24:H29">ROUND(G24*$E$3*12,2)</f>
        <v>114371.4</v>
      </c>
      <c r="I24" s="99">
        <f>$I$12*0.19</f>
        <v>0</v>
      </c>
      <c r="J24" s="100">
        <f aca="true" t="shared" si="1" ref="J24:J29">SUM(H24:I24)</f>
        <v>114371.4</v>
      </c>
    </row>
    <row r="25" spans="1:10" ht="26.25" customHeight="1">
      <c r="A25" s="22"/>
      <c r="B25" s="202" t="s">
        <v>15</v>
      </c>
      <c r="C25" s="202"/>
      <c r="D25" s="202"/>
      <c r="E25" s="97" t="s">
        <v>36</v>
      </c>
      <c r="F25" s="39" t="s">
        <v>81</v>
      </c>
      <c r="G25" s="81">
        <v>0.44</v>
      </c>
      <c r="H25" s="105">
        <f>ROUND(G25*$E$3*12,2)</f>
        <v>23406.24</v>
      </c>
      <c r="I25" s="99">
        <v>0</v>
      </c>
      <c r="J25" s="100">
        <f t="shared" si="1"/>
        <v>23406.24</v>
      </c>
    </row>
    <row r="26" spans="1:10" ht="30" customHeight="1">
      <c r="A26" s="22"/>
      <c r="B26" s="221" t="s">
        <v>37</v>
      </c>
      <c r="C26" s="218"/>
      <c r="D26" s="219"/>
      <c r="E26" s="97" t="s">
        <v>36</v>
      </c>
      <c r="F26" s="39" t="s">
        <v>81</v>
      </c>
      <c r="G26" s="36">
        <f>3.46-G27-G28</f>
        <v>3.46</v>
      </c>
      <c r="H26" s="105">
        <f t="shared" si="0"/>
        <v>184058.16</v>
      </c>
      <c r="I26" s="106">
        <f>$I$12*0.22</f>
        <v>0</v>
      </c>
      <c r="J26" s="100">
        <f t="shared" si="1"/>
        <v>184058.16</v>
      </c>
    </row>
    <row r="27" spans="1:10" ht="26.25" customHeight="1">
      <c r="A27" s="96"/>
      <c r="B27" s="210" t="s">
        <v>152</v>
      </c>
      <c r="C27" s="210"/>
      <c r="D27" s="210"/>
      <c r="E27" s="97" t="s">
        <v>36</v>
      </c>
      <c r="F27" s="39" t="s">
        <v>81</v>
      </c>
      <c r="G27" s="36">
        <v>0</v>
      </c>
      <c r="H27" s="105">
        <f t="shared" si="0"/>
        <v>0</v>
      </c>
      <c r="I27" s="106"/>
      <c r="J27" s="100">
        <f t="shared" si="1"/>
        <v>0</v>
      </c>
    </row>
    <row r="28" spans="1:10" ht="17.25" customHeight="1">
      <c r="A28" s="22"/>
      <c r="B28" s="210" t="s">
        <v>153</v>
      </c>
      <c r="C28" s="210"/>
      <c r="D28" s="210"/>
      <c r="E28" s="101" t="s">
        <v>9</v>
      </c>
      <c r="F28" s="39" t="s">
        <v>81</v>
      </c>
      <c r="G28" s="36">
        <v>0</v>
      </c>
      <c r="H28" s="105">
        <f t="shared" si="0"/>
        <v>0</v>
      </c>
      <c r="I28" s="106"/>
      <c r="J28" s="100">
        <f t="shared" si="1"/>
        <v>0</v>
      </c>
    </row>
    <row r="29" spans="1:10" ht="24.75" customHeight="1">
      <c r="A29" s="22"/>
      <c r="B29" s="220" t="s">
        <v>21</v>
      </c>
      <c r="C29" s="220"/>
      <c r="D29" s="220"/>
      <c r="E29" s="101" t="s">
        <v>36</v>
      </c>
      <c r="F29" s="39" t="s">
        <v>81</v>
      </c>
      <c r="G29" s="79">
        <v>1.06</v>
      </c>
      <c r="H29" s="98">
        <f t="shared" si="0"/>
        <v>56387.76</v>
      </c>
      <c r="I29" s="99">
        <f>$I$12*0.1</f>
        <v>0</v>
      </c>
      <c r="J29" s="100">
        <f t="shared" si="1"/>
        <v>56387.76</v>
      </c>
    </row>
    <row r="30" spans="1:10" ht="15.75">
      <c r="A30" s="22"/>
      <c r="B30" s="217"/>
      <c r="C30" s="218"/>
      <c r="D30" s="219"/>
      <c r="E30" s="101"/>
      <c r="F30" s="39"/>
      <c r="G30" s="79"/>
      <c r="H30" s="105"/>
      <c r="I30" s="93"/>
      <c r="J30" s="107"/>
    </row>
    <row r="31" spans="1:10" ht="15.75">
      <c r="A31" s="22"/>
      <c r="B31" s="217"/>
      <c r="C31" s="218"/>
      <c r="D31" s="219"/>
      <c r="E31" s="101"/>
      <c r="F31" s="39"/>
      <c r="G31" s="79"/>
      <c r="H31" s="105"/>
      <c r="I31" s="93"/>
      <c r="J31" s="107"/>
    </row>
    <row r="32" spans="1:10" ht="15.75">
      <c r="A32" s="22"/>
      <c r="B32" s="176" t="s">
        <v>30</v>
      </c>
      <c r="C32" s="176"/>
      <c r="D32" s="176"/>
      <c r="E32" s="14"/>
      <c r="F32" s="39"/>
      <c r="G32" s="20">
        <f>SUM(G17:G29)</f>
        <v>9.520000000000001</v>
      </c>
      <c r="H32" s="45">
        <f>SUM(H17:H31)</f>
        <v>499543.44</v>
      </c>
      <c r="I32" s="108">
        <f>SUM(I17:I31)</f>
        <v>0</v>
      </c>
      <c r="J32" s="45">
        <f>SUM(J17:J31)</f>
        <v>499543.44</v>
      </c>
    </row>
    <row r="33" spans="1:10" ht="21.75" customHeight="1">
      <c r="A33" s="22"/>
      <c r="B33" s="214" t="s">
        <v>154</v>
      </c>
      <c r="C33" s="215"/>
      <c r="D33" s="216"/>
      <c r="E33" s="101" t="s">
        <v>9</v>
      </c>
      <c r="F33" s="39"/>
      <c r="G33" s="79"/>
      <c r="H33" s="105"/>
      <c r="I33" s="93"/>
      <c r="J33" s="107"/>
    </row>
    <row r="34" spans="1:10" ht="27.75" customHeight="1">
      <c r="A34" s="22"/>
      <c r="B34" s="214" t="s">
        <v>155</v>
      </c>
      <c r="C34" s="215"/>
      <c r="D34" s="216"/>
      <c r="E34" s="97" t="s">
        <v>36</v>
      </c>
      <c r="F34" s="39"/>
      <c r="G34" s="79"/>
      <c r="H34" s="105"/>
      <c r="I34" s="93"/>
      <c r="J34" s="107"/>
    </row>
    <row r="35" spans="1:10" ht="15.75">
      <c r="A35" s="22"/>
      <c r="B35" s="217"/>
      <c r="C35" s="218"/>
      <c r="D35" s="219"/>
      <c r="E35" s="101"/>
      <c r="F35" s="39"/>
      <c r="G35" s="79"/>
      <c r="H35" s="105"/>
      <c r="I35" s="93"/>
      <c r="J35" s="107"/>
    </row>
    <row r="36" spans="1:10" ht="15" customHeight="1">
      <c r="A36" s="22" t="s">
        <v>156</v>
      </c>
      <c r="B36" s="211" t="s">
        <v>157</v>
      </c>
      <c r="C36" s="212"/>
      <c r="D36" s="212"/>
      <c r="E36" s="213"/>
      <c r="F36" s="39" t="s">
        <v>81</v>
      </c>
      <c r="G36" s="23">
        <f>H36/E3/12</f>
        <v>2.2077280246635085</v>
      </c>
      <c r="H36" s="109">
        <v>117442.3</v>
      </c>
      <c r="I36" s="110"/>
      <c r="J36" s="95">
        <f>SUM(H36:I36)</f>
        <v>117442.3</v>
      </c>
    </row>
    <row r="37" spans="1:10" ht="14.25" customHeight="1">
      <c r="A37" s="25"/>
      <c r="B37" s="222" t="s">
        <v>76</v>
      </c>
      <c r="C37" s="222"/>
      <c r="D37" s="222"/>
      <c r="E37" s="222"/>
      <c r="F37" s="222"/>
      <c r="G37" s="20">
        <f>SUM(G32:G36)</f>
        <v>11.72772802466351</v>
      </c>
      <c r="H37" s="46">
        <f>SUM(H32:H36)</f>
        <v>616985.74</v>
      </c>
      <c r="I37" s="111">
        <f>SUM(I32:I36)</f>
        <v>0</v>
      </c>
      <c r="J37" s="111">
        <f>SUM(J32:J36)</f>
        <v>616985.74</v>
      </c>
    </row>
    <row r="38" spans="1:10" ht="15.75">
      <c r="A38" s="22" t="s">
        <v>158</v>
      </c>
      <c r="B38" s="223" t="s">
        <v>159</v>
      </c>
      <c r="C38" s="223"/>
      <c r="D38" s="223"/>
      <c r="E38" s="223"/>
      <c r="F38" s="223"/>
      <c r="G38" s="23"/>
      <c r="H38" s="112">
        <v>0</v>
      </c>
      <c r="I38" s="112">
        <v>0</v>
      </c>
      <c r="J38" s="113">
        <f>SUM(H38:I38)</f>
        <v>0</v>
      </c>
    </row>
    <row r="39" spans="1:10" ht="24.75" customHeight="1">
      <c r="A39" s="25"/>
      <c r="B39" s="222" t="s">
        <v>160</v>
      </c>
      <c r="C39" s="222"/>
      <c r="D39" s="222"/>
      <c r="E39" s="222"/>
      <c r="F39" s="222"/>
      <c r="G39" s="20">
        <f>SUM(G37:G38)</f>
        <v>11.72772802466351</v>
      </c>
      <c r="H39" s="46">
        <f>SUM(H37:H38)</f>
        <v>616985.74</v>
      </c>
      <c r="I39" s="111">
        <f>SUM(I37:I38)</f>
        <v>0</v>
      </c>
      <c r="J39" s="111">
        <f>SUM(J37:J38)</f>
        <v>616985.74</v>
      </c>
    </row>
    <row r="40" spans="1:10" ht="27" customHeight="1">
      <c r="A40" s="22">
        <v>3</v>
      </c>
      <c r="B40" s="241" t="s">
        <v>211</v>
      </c>
      <c r="C40" s="170"/>
      <c r="D40" s="170"/>
      <c r="E40" s="170"/>
      <c r="F40" s="170"/>
      <c r="G40" s="197"/>
      <c r="H40" s="98">
        <f>H14-H39</f>
        <v>-37033.369999999995</v>
      </c>
      <c r="I40" s="98">
        <f>I14-I39</f>
        <v>0</v>
      </c>
      <c r="J40" s="95">
        <f>J14-J39</f>
        <v>-37033.369999999995</v>
      </c>
    </row>
    <row r="41" spans="2:6" ht="15.75">
      <c r="B41" s="33"/>
      <c r="F41" s="33"/>
    </row>
    <row r="42" spans="2:9" ht="36" customHeight="1">
      <c r="B42" s="224" t="s">
        <v>197</v>
      </c>
      <c r="C42" s="224"/>
      <c r="D42" s="224"/>
      <c r="E42" s="224"/>
      <c r="F42" s="224"/>
      <c r="G42" s="224"/>
      <c r="H42" s="224"/>
      <c r="I42" s="224"/>
    </row>
    <row r="43" spans="2:4" ht="25.5" customHeight="1">
      <c r="B43" s="33"/>
      <c r="C43" s="33"/>
      <c r="D43" s="33"/>
    </row>
    <row r="44" spans="2:10" ht="15.75">
      <c r="B44" s="48" t="s">
        <v>212</v>
      </c>
      <c r="C44" s="48"/>
      <c r="D44" s="48"/>
      <c r="E44" s="48"/>
      <c r="F44" s="48"/>
      <c r="J44"/>
    </row>
    <row r="45" spans="2:4" ht="15.75" customHeight="1">
      <c r="B45" s="184" t="s">
        <v>86</v>
      </c>
      <c r="C45" s="184"/>
      <c r="D45" s="184"/>
    </row>
  </sheetData>
  <sheetProtection/>
  <mergeCells count="38">
    <mergeCell ref="A1:J1"/>
    <mergeCell ref="A2:J2"/>
    <mergeCell ref="B7:D7"/>
    <mergeCell ref="H7:J7"/>
    <mergeCell ref="B12:F12"/>
    <mergeCell ref="B13:F13"/>
    <mergeCell ref="B14:F14"/>
    <mergeCell ref="B15:F15"/>
    <mergeCell ref="B8:F8"/>
    <mergeCell ref="B9:F9"/>
    <mergeCell ref="B10:F10"/>
    <mergeCell ref="B11:F11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B45:D45"/>
    <mergeCell ref="B33:D33"/>
    <mergeCell ref="B34:D34"/>
    <mergeCell ref="B35:D35"/>
    <mergeCell ref="B36:E36"/>
    <mergeCell ref="B37:F37"/>
    <mergeCell ref="B38:F38"/>
    <mergeCell ref="B39:F39"/>
    <mergeCell ref="B40:G40"/>
    <mergeCell ref="B42:I42"/>
  </mergeCells>
  <printOptions/>
  <pageMargins left="0" right="0" top="0" bottom="0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B1">
      <selection activeCell="B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625" style="0" customWidth="1"/>
    <col min="6" max="6" width="17.75390625" style="0" hidden="1" customWidth="1"/>
    <col min="7" max="7" width="5.875" style="0" hidden="1" customWidth="1"/>
    <col min="8" max="8" width="13.25390625" style="0" customWidth="1"/>
  </cols>
  <sheetData>
    <row r="1" spans="1:8" ht="120" customHeight="1">
      <c r="A1" s="179" t="s">
        <v>213</v>
      </c>
      <c r="B1" s="179"/>
      <c r="C1" s="179"/>
      <c r="D1" s="179"/>
      <c r="E1" s="179"/>
      <c r="F1" s="179"/>
      <c r="G1" s="179"/>
      <c r="H1" s="179"/>
    </row>
    <row r="2" spans="1:6" ht="18.75">
      <c r="A2" s="1" t="s">
        <v>82</v>
      </c>
      <c r="B2" s="1" t="s">
        <v>83</v>
      </c>
      <c r="C2" s="2"/>
      <c r="D2" s="2" t="s">
        <v>0</v>
      </c>
      <c r="E2" s="26">
        <v>4433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6.75" customHeight="1">
      <c r="A6" s="74" t="s">
        <v>61</v>
      </c>
      <c r="B6" s="228" t="s">
        <v>137</v>
      </c>
      <c r="C6" s="229"/>
      <c r="D6" s="230"/>
      <c r="E6" s="75" t="s">
        <v>6</v>
      </c>
      <c r="F6" s="75" t="s">
        <v>7</v>
      </c>
      <c r="G6" s="117" t="s">
        <v>199</v>
      </c>
      <c r="H6" s="118" t="s">
        <v>131</v>
      </c>
    </row>
    <row r="7" spans="1:8" ht="15.75" customHeight="1">
      <c r="A7" s="76">
        <v>1</v>
      </c>
      <c r="B7" s="231" t="s">
        <v>132</v>
      </c>
      <c r="C7" s="231"/>
      <c r="D7" s="231"/>
      <c r="E7" s="231"/>
      <c r="F7" s="231"/>
      <c r="G7" s="77"/>
      <c r="H7" s="119"/>
    </row>
    <row r="8" spans="1:8" ht="15.75" customHeight="1">
      <c r="A8" s="76"/>
      <c r="B8" s="185" t="s">
        <v>200</v>
      </c>
      <c r="C8" s="185"/>
      <c r="D8" s="185"/>
      <c r="E8" s="185"/>
      <c r="F8" s="185"/>
      <c r="G8" s="23">
        <f>G30</f>
        <v>10.88</v>
      </c>
      <c r="H8" s="119">
        <f>ROUND($E$2*G8*12,0)</f>
        <v>578772</v>
      </c>
    </row>
    <row r="9" spans="1:8" ht="15.75" customHeight="1">
      <c r="A9" s="76"/>
      <c r="B9" s="232" t="s">
        <v>133</v>
      </c>
      <c r="C9" s="232"/>
      <c r="D9" s="232"/>
      <c r="E9" s="232"/>
      <c r="F9" s="232"/>
      <c r="G9" s="22">
        <v>0.78</v>
      </c>
      <c r="H9" s="119">
        <f>ROUND($E$2*G9*12,0)</f>
        <v>41493</v>
      </c>
    </row>
    <row r="10" spans="1:8" ht="18.75" customHeight="1">
      <c r="A10" s="76">
        <v>2</v>
      </c>
      <c r="B10" s="190" t="s">
        <v>74</v>
      </c>
      <c r="C10" s="190"/>
      <c r="D10" s="190"/>
      <c r="E10" s="190"/>
      <c r="F10" s="190"/>
      <c r="G10" s="79"/>
      <c r="H10" s="119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19"/>
    </row>
    <row r="12" spans="1:8" ht="15.75" customHeight="1">
      <c r="A12" s="120"/>
      <c r="B12" s="227" t="s">
        <v>201</v>
      </c>
      <c r="C12" s="227"/>
      <c r="D12" s="227"/>
      <c r="E12" s="97" t="s">
        <v>32</v>
      </c>
      <c r="F12" s="80" t="s">
        <v>24</v>
      </c>
      <c r="G12" s="81">
        <v>1.09</v>
      </c>
      <c r="H12" s="78">
        <f aca="true" t="shared" si="0" ref="H12:H30">ROUND($E$2*G12*12,0)</f>
        <v>57984</v>
      </c>
    </row>
    <row r="13" spans="1:8" ht="15.75" customHeight="1">
      <c r="A13" s="120"/>
      <c r="B13" s="227" t="s">
        <v>17</v>
      </c>
      <c r="C13" s="227"/>
      <c r="D13" s="227"/>
      <c r="E13" s="97" t="s">
        <v>32</v>
      </c>
      <c r="F13" s="80" t="s">
        <v>19</v>
      </c>
      <c r="G13" s="81">
        <v>0.29</v>
      </c>
      <c r="H13" s="78">
        <f t="shared" si="0"/>
        <v>15427</v>
      </c>
    </row>
    <row r="14" spans="1:8" ht="15.75" customHeight="1">
      <c r="A14" s="120"/>
      <c r="B14" s="225" t="s">
        <v>23</v>
      </c>
      <c r="C14" s="225"/>
      <c r="D14" s="225"/>
      <c r="E14" s="101" t="s">
        <v>149</v>
      </c>
      <c r="F14" s="82" t="s">
        <v>20</v>
      </c>
      <c r="G14" s="81">
        <v>0.4</v>
      </c>
      <c r="H14" s="78">
        <f t="shared" si="0"/>
        <v>21278</v>
      </c>
    </row>
    <row r="15" spans="1:8" ht="18.75" customHeight="1">
      <c r="A15" s="120"/>
      <c r="B15" s="233" t="s">
        <v>31</v>
      </c>
      <c r="C15" s="233"/>
      <c r="D15" s="233"/>
      <c r="E15" s="103" t="s">
        <v>9</v>
      </c>
      <c r="F15" s="83" t="s">
        <v>10</v>
      </c>
      <c r="G15" s="81">
        <v>0.53</v>
      </c>
      <c r="H15" s="78">
        <f t="shared" si="0"/>
        <v>28194</v>
      </c>
    </row>
    <row r="16" spans="1:8" ht="51">
      <c r="A16" s="120"/>
      <c r="B16" s="225" t="s">
        <v>27</v>
      </c>
      <c r="C16" s="225"/>
      <c r="D16" s="225"/>
      <c r="E16" s="101" t="s">
        <v>150</v>
      </c>
      <c r="F16" s="82" t="s">
        <v>25</v>
      </c>
      <c r="G16" s="81">
        <v>0.12</v>
      </c>
      <c r="H16" s="78">
        <f t="shared" si="0"/>
        <v>6384</v>
      </c>
    </row>
    <row r="17" spans="1:8" ht="31.5" customHeight="1">
      <c r="A17" s="120"/>
      <c r="B17" s="225" t="s">
        <v>11</v>
      </c>
      <c r="C17" s="225"/>
      <c r="D17" s="225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20"/>
      <c r="B18" s="225" t="s">
        <v>26</v>
      </c>
      <c r="C18" s="226"/>
      <c r="D18" s="226"/>
      <c r="E18" s="104" t="s">
        <v>13</v>
      </c>
      <c r="F18" s="79" t="s">
        <v>202</v>
      </c>
      <c r="G18" s="81">
        <v>0.05</v>
      </c>
      <c r="H18" s="78">
        <f t="shared" si="0"/>
        <v>2660</v>
      </c>
    </row>
    <row r="19" spans="1:8" ht="31.5" customHeight="1">
      <c r="A19" s="120"/>
      <c r="B19" s="225" t="s">
        <v>151</v>
      </c>
      <c r="C19" s="225"/>
      <c r="D19" s="225"/>
      <c r="E19" s="97" t="s">
        <v>36</v>
      </c>
      <c r="F19" s="82" t="s">
        <v>81</v>
      </c>
      <c r="G19" s="81">
        <v>2.21</v>
      </c>
      <c r="H19" s="78">
        <f t="shared" si="0"/>
        <v>117563</v>
      </c>
    </row>
    <row r="20" spans="1:8" ht="33" customHeight="1">
      <c r="A20" s="120"/>
      <c r="B20" s="227" t="s">
        <v>15</v>
      </c>
      <c r="C20" s="227"/>
      <c r="D20" s="227"/>
      <c r="E20" s="97" t="s">
        <v>135</v>
      </c>
      <c r="F20" s="82" t="s">
        <v>81</v>
      </c>
      <c r="G20" s="81">
        <v>0.45</v>
      </c>
      <c r="H20" s="78">
        <f t="shared" si="0"/>
        <v>23938</v>
      </c>
    </row>
    <row r="21" spans="1:8" ht="25.5">
      <c r="A21" s="120"/>
      <c r="B21" s="225" t="s">
        <v>37</v>
      </c>
      <c r="C21" s="226"/>
      <c r="D21" s="226"/>
      <c r="E21" s="97" t="s">
        <v>36</v>
      </c>
      <c r="F21" s="82" t="s">
        <v>81</v>
      </c>
      <c r="G21" s="81">
        <f>3.56-G22-G23</f>
        <v>3.56</v>
      </c>
      <c r="H21" s="78">
        <f t="shared" si="0"/>
        <v>189378</v>
      </c>
    </row>
    <row r="22" spans="1:8" ht="31.5" customHeight="1">
      <c r="A22" s="120"/>
      <c r="B22" s="225" t="s">
        <v>203</v>
      </c>
      <c r="C22" s="225"/>
      <c r="D22" s="225"/>
      <c r="E22" s="101" t="s">
        <v>9</v>
      </c>
      <c r="F22" s="82" t="s">
        <v>81</v>
      </c>
      <c r="G22" s="81">
        <v>0</v>
      </c>
      <c r="H22" s="78">
        <f t="shared" si="0"/>
        <v>0</v>
      </c>
    </row>
    <row r="23" spans="1:8" ht="15.75" customHeight="1">
      <c r="A23" s="120"/>
      <c r="B23" s="225" t="s">
        <v>153</v>
      </c>
      <c r="C23" s="225"/>
      <c r="D23" s="225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20"/>
      <c r="B24" s="226" t="s">
        <v>21</v>
      </c>
      <c r="C24" s="226"/>
      <c r="D24" s="226"/>
      <c r="E24" s="97" t="s">
        <v>36</v>
      </c>
      <c r="F24" s="82" t="s">
        <v>81</v>
      </c>
      <c r="G24" s="81">
        <v>1.09</v>
      </c>
      <c r="H24" s="78">
        <f t="shared" si="0"/>
        <v>57984</v>
      </c>
    </row>
    <row r="25" spans="1:8" ht="15.75">
      <c r="A25" s="22"/>
      <c r="B25" s="214" t="s">
        <v>154</v>
      </c>
      <c r="C25" s="215"/>
      <c r="D25" s="216"/>
      <c r="E25" s="101" t="s">
        <v>9</v>
      </c>
      <c r="F25" s="82"/>
      <c r="G25" s="81"/>
      <c r="H25" s="78"/>
    </row>
    <row r="26" spans="1:8" ht="25.5">
      <c r="A26" s="22"/>
      <c r="B26" s="214" t="s">
        <v>155</v>
      </c>
      <c r="C26" s="215"/>
      <c r="D26" s="216"/>
      <c r="E26" s="97" t="s">
        <v>36</v>
      </c>
      <c r="F26" s="82"/>
      <c r="G26" s="81"/>
      <c r="H26" s="78"/>
    </row>
    <row r="27" spans="1:8" ht="31.5" customHeight="1">
      <c r="A27" s="120"/>
      <c r="B27" s="217"/>
      <c r="C27" s="218"/>
      <c r="D27" s="219"/>
      <c r="E27" s="97"/>
      <c r="F27" s="82"/>
      <c r="G27" s="81"/>
      <c r="H27" s="78"/>
    </row>
    <row r="28" spans="1:8" ht="15.75">
      <c r="A28" s="120"/>
      <c r="B28" s="234" t="s">
        <v>30</v>
      </c>
      <c r="C28" s="235"/>
      <c r="D28" s="236"/>
      <c r="E28" s="14"/>
      <c r="F28" s="82"/>
      <c r="G28" s="20">
        <f>SUM(G12:G27)</f>
        <v>9.790000000000001</v>
      </c>
      <c r="H28" s="78">
        <f t="shared" si="0"/>
        <v>520789</v>
      </c>
    </row>
    <row r="29" spans="1:8" ht="15.75">
      <c r="A29" s="76" t="s">
        <v>156</v>
      </c>
      <c r="B29" s="211" t="s">
        <v>214</v>
      </c>
      <c r="C29" s="212"/>
      <c r="D29" s="212"/>
      <c r="E29" s="213"/>
      <c r="F29" s="50" t="s">
        <v>136</v>
      </c>
      <c r="G29" s="23">
        <v>1.09</v>
      </c>
      <c r="H29" s="78">
        <v>52150</v>
      </c>
    </row>
    <row r="30" spans="1:8" ht="15.75">
      <c r="A30" s="76"/>
      <c r="B30" s="237" t="s">
        <v>205</v>
      </c>
      <c r="C30" s="237"/>
      <c r="D30" s="237"/>
      <c r="E30" s="237"/>
      <c r="F30" s="237"/>
      <c r="G30" s="20">
        <f>SUM(G28:G29)</f>
        <v>10.88</v>
      </c>
      <c r="H30" s="121">
        <f t="shared" si="0"/>
        <v>578772</v>
      </c>
    </row>
    <row r="31" spans="1:9" ht="15.75" customHeight="1" thickBot="1">
      <c r="A31" s="122">
        <v>3</v>
      </c>
      <c r="B31" s="238" t="s">
        <v>206</v>
      </c>
      <c r="C31" s="239"/>
      <c r="D31" s="240"/>
      <c r="E31" s="123"/>
      <c r="F31" s="124" t="s">
        <v>136</v>
      </c>
      <c r="G31" s="84">
        <v>0.78</v>
      </c>
      <c r="H31" s="125">
        <f>ROUND($E$2*G31*12,0)</f>
        <v>41493</v>
      </c>
      <c r="I31" s="116"/>
    </row>
    <row r="32" spans="2:5" ht="54.75" customHeight="1">
      <c r="B32" s="242" t="s">
        <v>215</v>
      </c>
      <c r="C32" s="242"/>
      <c r="D32" s="242"/>
      <c r="E32" s="242"/>
    </row>
    <row r="33" spans="2:5" ht="47.25" customHeight="1">
      <c r="B33" s="33" t="s">
        <v>207</v>
      </c>
      <c r="C33" s="33"/>
      <c r="D33" s="33"/>
      <c r="E33" s="33"/>
    </row>
  </sheetData>
  <sheetProtection/>
  <mergeCells count="27">
    <mergeCell ref="B32:E32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9:D19"/>
    <mergeCell ref="B20:D20"/>
    <mergeCell ref="B21:D21"/>
    <mergeCell ref="B22:D22"/>
    <mergeCell ref="B15:D15"/>
    <mergeCell ref="B16:D16"/>
    <mergeCell ref="B17:D17"/>
    <mergeCell ref="B18:D18"/>
    <mergeCell ref="B31:D31"/>
    <mergeCell ref="B26:D26"/>
    <mergeCell ref="B27:D27"/>
    <mergeCell ref="B28:D28"/>
    <mergeCell ref="B29:E29"/>
    <mergeCell ref="B23:D23"/>
    <mergeCell ref="B24:D24"/>
    <mergeCell ref="B25:D25"/>
    <mergeCell ref="B30:F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G19" sqref="G19:G31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6.875" style="0" customWidth="1"/>
    <col min="6" max="6" width="17.75390625" style="0" hidden="1" customWidth="1"/>
    <col min="7" max="7" width="12.25390625" style="0" customWidth="1"/>
    <col min="8" max="8" width="12.625" style="0" customWidth="1"/>
  </cols>
  <sheetData>
    <row r="1" spans="4:8" ht="69" customHeight="1">
      <c r="D1" s="243" t="s">
        <v>232</v>
      </c>
      <c r="E1" s="243"/>
      <c r="F1" s="243"/>
      <c r="G1" s="243"/>
      <c r="H1" s="243"/>
    </row>
    <row r="4" spans="1:8" ht="19.5" customHeight="1">
      <c r="A4" s="244" t="s">
        <v>216</v>
      </c>
      <c r="B4" s="244"/>
      <c r="C4" s="244"/>
      <c r="D4" s="244"/>
      <c r="E4" s="244"/>
      <c r="F4" s="244"/>
      <c r="G4" s="244"/>
      <c r="H4" s="244"/>
    </row>
    <row r="5" spans="1:6" ht="19.5">
      <c r="A5" s="126"/>
      <c r="B5" s="126"/>
      <c r="C5" s="126"/>
      <c r="D5" s="126"/>
      <c r="E5" s="126"/>
      <c r="F5" s="126"/>
    </row>
    <row r="6" spans="1:6" ht="19.5">
      <c r="A6" s="126"/>
      <c r="B6" s="246" t="s">
        <v>223</v>
      </c>
      <c r="C6" s="246"/>
      <c r="D6" s="246"/>
      <c r="E6" s="246"/>
      <c r="F6" s="126"/>
    </row>
    <row r="7" spans="1:6" ht="19.5">
      <c r="A7" s="126"/>
      <c r="B7" s="127"/>
      <c r="C7" s="127"/>
      <c r="D7" s="127"/>
      <c r="E7" s="127"/>
      <c r="F7" s="126"/>
    </row>
    <row r="8" spans="1:6" ht="18.75">
      <c r="A8" s="1" t="s">
        <v>82</v>
      </c>
      <c r="B8" s="1" t="s">
        <v>83</v>
      </c>
      <c r="C8" s="2"/>
      <c r="D8" s="2" t="s">
        <v>0</v>
      </c>
      <c r="E8" s="26">
        <v>4375.4</v>
      </c>
      <c r="F8" s="2"/>
    </row>
    <row r="9" spans="2:6" ht="15.75">
      <c r="B9" s="3" t="s">
        <v>1</v>
      </c>
      <c r="C9" s="35">
        <v>5</v>
      </c>
      <c r="D9" s="2" t="s">
        <v>2</v>
      </c>
      <c r="E9" s="27">
        <v>90</v>
      </c>
      <c r="F9" s="2"/>
    </row>
    <row r="10" spans="2:7" ht="15.75">
      <c r="B10" s="3" t="s">
        <v>3</v>
      </c>
      <c r="C10" s="4">
        <v>6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10.25">
      <c r="A12" s="74" t="s">
        <v>61</v>
      </c>
      <c r="B12" s="228" t="s">
        <v>137</v>
      </c>
      <c r="C12" s="229"/>
      <c r="D12" s="230"/>
      <c r="E12" s="75" t="s">
        <v>6</v>
      </c>
      <c r="F12" s="75" t="s">
        <v>7</v>
      </c>
      <c r="G12" s="128" t="s">
        <v>224</v>
      </c>
      <c r="H12" s="129" t="s">
        <v>225</v>
      </c>
    </row>
    <row r="13" spans="1:8" ht="25.5">
      <c r="A13" s="130">
        <v>1</v>
      </c>
      <c r="B13" s="204">
        <v>2</v>
      </c>
      <c r="C13" s="205"/>
      <c r="D13" s="245"/>
      <c r="E13" s="132">
        <v>3</v>
      </c>
      <c r="F13" s="131"/>
      <c r="G13" s="133">
        <v>4</v>
      </c>
      <c r="H13" s="134" t="s">
        <v>226</v>
      </c>
    </row>
    <row r="14" spans="1:8" ht="15.75" customHeight="1" hidden="1">
      <c r="A14" s="76">
        <v>1</v>
      </c>
      <c r="B14" s="231" t="s">
        <v>132</v>
      </c>
      <c r="C14" s="231"/>
      <c r="D14" s="231"/>
      <c r="E14" s="231"/>
      <c r="F14" s="231"/>
      <c r="G14" s="77"/>
      <c r="H14" s="119"/>
    </row>
    <row r="15" spans="1:8" ht="15.75" customHeight="1" hidden="1">
      <c r="A15" s="76"/>
      <c r="B15" s="185" t="s">
        <v>200</v>
      </c>
      <c r="C15" s="185"/>
      <c r="D15" s="185"/>
      <c r="E15" s="185"/>
      <c r="F15" s="185"/>
      <c r="G15" s="23">
        <f>G37</f>
        <v>11.21</v>
      </c>
      <c r="H15" s="119">
        <f>ROUND($E$8*G15*12,0)</f>
        <v>588579</v>
      </c>
    </row>
    <row r="16" spans="1:8" ht="15.75" customHeight="1" hidden="1">
      <c r="A16" s="76"/>
      <c r="B16" s="232" t="s">
        <v>133</v>
      </c>
      <c r="C16" s="232"/>
      <c r="D16" s="232"/>
      <c r="E16" s="232"/>
      <c r="F16" s="232"/>
      <c r="G16" s="22">
        <v>0.78</v>
      </c>
      <c r="H16" s="119">
        <f>ROUND($E$8*G16*12,0)</f>
        <v>40954</v>
      </c>
    </row>
    <row r="17" spans="1:8" ht="18.75" customHeight="1">
      <c r="A17" s="76" t="s">
        <v>94</v>
      </c>
      <c r="B17" s="190" t="s">
        <v>74</v>
      </c>
      <c r="C17" s="190"/>
      <c r="D17" s="190"/>
      <c r="E17" s="190"/>
      <c r="F17" s="190"/>
      <c r="G17" s="79"/>
      <c r="H17" s="119"/>
    </row>
    <row r="18" spans="1:8" ht="15.75" customHeight="1">
      <c r="A18" s="76" t="s">
        <v>229</v>
      </c>
      <c r="B18" s="18" t="s">
        <v>75</v>
      </c>
      <c r="C18" s="18"/>
      <c r="D18" s="18"/>
      <c r="E18" s="18"/>
      <c r="F18" s="5"/>
      <c r="G18" s="90"/>
      <c r="H18" s="119"/>
    </row>
    <row r="19" spans="1:8" ht="15.75" customHeight="1">
      <c r="A19" s="120"/>
      <c r="B19" s="227" t="s">
        <v>201</v>
      </c>
      <c r="C19" s="227"/>
      <c r="D19" s="227"/>
      <c r="E19" s="97" t="s">
        <v>32</v>
      </c>
      <c r="F19" s="80" t="s">
        <v>24</v>
      </c>
      <c r="G19" s="81">
        <v>1.12</v>
      </c>
      <c r="H19" s="78">
        <f>ROUND($E$8*G19*4,0)</f>
        <v>19602</v>
      </c>
    </row>
    <row r="20" spans="1:8" ht="15.75" customHeight="1">
      <c r="A20" s="120"/>
      <c r="B20" s="227" t="s">
        <v>17</v>
      </c>
      <c r="C20" s="227"/>
      <c r="D20" s="227"/>
      <c r="E20" s="97" t="s">
        <v>32</v>
      </c>
      <c r="F20" s="80" t="s">
        <v>19</v>
      </c>
      <c r="G20" s="81">
        <v>0.3</v>
      </c>
      <c r="H20" s="78">
        <f aca="true" t="shared" si="0" ref="H20:H38">ROUND($E$8*G20*4,0)</f>
        <v>5250</v>
      </c>
    </row>
    <row r="21" spans="1:8" ht="15.75" customHeight="1">
      <c r="A21" s="120"/>
      <c r="B21" s="225" t="s">
        <v>23</v>
      </c>
      <c r="C21" s="225"/>
      <c r="D21" s="225"/>
      <c r="E21" s="101" t="s">
        <v>149</v>
      </c>
      <c r="F21" s="82" t="s">
        <v>20</v>
      </c>
      <c r="G21" s="81">
        <v>0.41</v>
      </c>
      <c r="H21" s="78">
        <f t="shared" si="0"/>
        <v>7176</v>
      </c>
    </row>
    <row r="22" spans="1:8" ht="18.75" customHeight="1">
      <c r="A22" s="120"/>
      <c r="B22" s="233" t="s">
        <v>31</v>
      </c>
      <c r="C22" s="233"/>
      <c r="D22" s="233"/>
      <c r="E22" s="103" t="s">
        <v>9</v>
      </c>
      <c r="F22" s="83" t="s">
        <v>10</v>
      </c>
      <c r="G22" s="81">
        <v>0.54</v>
      </c>
      <c r="H22" s="78">
        <f t="shared" si="0"/>
        <v>9451</v>
      </c>
    </row>
    <row r="23" spans="1:8" ht="51">
      <c r="A23" s="120"/>
      <c r="B23" s="225" t="s">
        <v>27</v>
      </c>
      <c r="C23" s="225"/>
      <c r="D23" s="225"/>
      <c r="E23" s="101" t="s">
        <v>150</v>
      </c>
      <c r="F23" s="82" t="s">
        <v>25</v>
      </c>
      <c r="G23" s="81">
        <v>0.13</v>
      </c>
      <c r="H23" s="78">
        <f t="shared" si="0"/>
        <v>2275</v>
      </c>
    </row>
    <row r="24" spans="1:8" ht="31.5" customHeight="1">
      <c r="A24" s="120"/>
      <c r="B24" s="225" t="s">
        <v>11</v>
      </c>
      <c r="C24" s="225"/>
      <c r="D24" s="225"/>
      <c r="E24" s="101" t="s">
        <v>9</v>
      </c>
      <c r="F24" s="82" t="s">
        <v>12</v>
      </c>
      <c r="G24" s="139">
        <v>0</v>
      </c>
      <c r="H24" s="78">
        <f t="shared" si="0"/>
        <v>0</v>
      </c>
    </row>
    <row r="25" spans="1:8" ht="15.75" customHeight="1">
      <c r="A25" s="120"/>
      <c r="B25" s="225" t="s">
        <v>26</v>
      </c>
      <c r="C25" s="226"/>
      <c r="D25" s="226"/>
      <c r="E25" s="104" t="s">
        <v>13</v>
      </c>
      <c r="F25" s="79" t="s">
        <v>202</v>
      </c>
      <c r="G25" s="81">
        <v>0.05</v>
      </c>
      <c r="H25" s="78">
        <f t="shared" si="0"/>
        <v>875</v>
      </c>
    </row>
    <row r="26" spans="1:8" ht="51">
      <c r="A26" s="120"/>
      <c r="B26" s="225" t="s">
        <v>151</v>
      </c>
      <c r="C26" s="225"/>
      <c r="D26" s="225"/>
      <c r="E26" s="97" t="s">
        <v>227</v>
      </c>
      <c r="F26" s="82" t="s">
        <v>81</v>
      </c>
      <c r="G26" s="81">
        <v>1.63</v>
      </c>
      <c r="H26" s="78">
        <f t="shared" si="0"/>
        <v>28528</v>
      </c>
    </row>
    <row r="27" spans="1:8" ht="51">
      <c r="A27" s="120"/>
      <c r="B27" s="227" t="s">
        <v>15</v>
      </c>
      <c r="C27" s="227"/>
      <c r="D27" s="227"/>
      <c r="E27" s="97" t="s">
        <v>135</v>
      </c>
      <c r="F27" s="82" t="s">
        <v>81</v>
      </c>
      <c r="G27" s="81">
        <v>0.47</v>
      </c>
      <c r="H27" s="78">
        <f t="shared" si="0"/>
        <v>8226</v>
      </c>
    </row>
    <row r="28" spans="1:8" ht="33.75" customHeight="1">
      <c r="A28" s="120"/>
      <c r="B28" s="225" t="s">
        <v>37</v>
      </c>
      <c r="C28" s="226"/>
      <c r="D28" s="226"/>
      <c r="E28" s="97" t="s">
        <v>36</v>
      </c>
      <c r="F28" s="82" t="s">
        <v>81</v>
      </c>
      <c r="G28" s="81">
        <f>4.32-G29-G30</f>
        <v>4.32</v>
      </c>
      <c r="H28" s="78">
        <f t="shared" si="0"/>
        <v>75607</v>
      </c>
    </row>
    <row r="29" spans="1:8" ht="15.75">
      <c r="A29" s="120"/>
      <c r="B29" s="225" t="s">
        <v>203</v>
      </c>
      <c r="C29" s="225"/>
      <c r="D29" s="225"/>
      <c r="E29" s="101" t="s">
        <v>9</v>
      </c>
      <c r="F29" s="82" t="s">
        <v>81</v>
      </c>
      <c r="G29" s="139">
        <v>0</v>
      </c>
      <c r="H29" s="78">
        <f t="shared" si="0"/>
        <v>0</v>
      </c>
    </row>
    <row r="30" spans="1:8" ht="15.75" customHeight="1">
      <c r="A30" s="120"/>
      <c r="B30" s="225" t="s">
        <v>153</v>
      </c>
      <c r="C30" s="225"/>
      <c r="D30" s="225"/>
      <c r="E30" s="101" t="s">
        <v>9</v>
      </c>
      <c r="F30" s="82" t="s">
        <v>81</v>
      </c>
      <c r="G30" s="139">
        <v>0</v>
      </c>
      <c r="H30" s="78">
        <f t="shared" si="0"/>
        <v>0</v>
      </c>
    </row>
    <row r="31" spans="1:8" ht="25.5">
      <c r="A31" s="120"/>
      <c r="B31" s="226" t="s">
        <v>21</v>
      </c>
      <c r="C31" s="226"/>
      <c r="D31" s="226"/>
      <c r="E31" s="97" t="s">
        <v>36</v>
      </c>
      <c r="F31" s="82" t="s">
        <v>81</v>
      </c>
      <c r="G31" s="81">
        <v>1.12</v>
      </c>
      <c r="H31" s="78">
        <f t="shared" si="0"/>
        <v>19602</v>
      </c>
    </row>
    <row r="32" spans="1:8" ht="15.75" hidden="1">
      <c r="A32" s="22"/>
      <c r="B32" s="214" t="s">
        <v>154</v>
      </c>
      <c r="C32" s="215"/>
      <c r="D32" s="216"/>
      <c r="E32" s="101" t="s">
        <v>9</v>
      </c>
      <c r="F32" s="82"/>
      <c r="G32" s="81"/>
      <c r="H32" s="78">
        <f t="shared" si="0"/>
        <v>0</v>
      </c>
    </row>
    <row r="33" spans="1:8" ht="25.5" hidden="1">
      <c r="A33" s="22"/>
      <c r="B33" s="214" t="s">
        <v>155</v>
      </c>
      <c r="C33" s="215"/>
      <c r="D33" s="216"/>
      <c r="E33" s="97" t="s">
        <v>36</v>
      </c>
      <c r="F33" s="82"/>
      <c r="G33" s="81"/>
      <c r="H33" s="78">
        <f t="shared" si="0"/>
        <v>0</v>
      </c>
    </row>
    <row r="34" spans="1:8" ht="31.5" customHeight="1" hidden="1">
      <c r="A34" s="120"/>
      <c r="B34" s="217"/>
      <c r="C34" s="218"/>
      <c r="D34" s="219"/>
      <c r="E34" s="97"/>
      <c r="F34" s="82"/>
      <c r="G34" s="81"/>
      <c r="H34" s="78">
        <f t="shared" si="0"/>
        <v>0</v>
      </c>
    </row>
    <row r="35" spans="1:8" ht="15.75">
      <c r="A35" s="120"/>
      <c r="B35" s="234" t="s">
        <v>30</v>
      </c>
      <c r="C35" s="235"/>
      <c r="D35" s="236"/>
      <c r="E35" s="14"/>
      <c r="F35" s="82"/>
      <c r="G35" s="20">
        <f>SUM(G19:G34)</f>
        <v>10.09</v>
      </c>
      <c r="H35" s="78">
        <f t="shared" si="0"/>
        <v>176591</v>
      </c>
    </row>
    <row r="36" spans="1:8" ht="15.75" customHeight="1">
      <c r="A36" s="76" t="s">
        <v>230</v>
      </c>
      <c r="B36" s="211" t="s">
        <v>214</v>
      </c>
      <c r="C36" s="212"/>
      <c r="D36" s="213"/>
      <c r="E36" s="135" t="s">
        <v>217</v>
      </c>
      <c r="F36" s="50" t="s">
        <v>136</v>
      </c>
      <c r="G36" s="23">
        <v>1.12</v>
      </c>
      <c r="H36" s="78">
        <f t="shared" si="0"/>
        <v>19602</v>
      </c>
    </row>
    <row r="37" spans="1:8" ht="15.75">
      <c r="A37" s="76" t="s">
        <v>231</v>
      </c>
      <c r="B37" s="237" t="s">
        <v>205</v>
      </c>
      <c r="C37" s="237"/>
      <c r="D37" s="237"/>
      <c r="E37" s="237"/>
      <c r="F37" s="237"/>
      <c r="G37" s="20">
        <f>SUM(G35:G36)</f>
        <v>11.21</v>
      </c>
      <c r="H37" s="78">
        <f t="shared" si="0"/>
        <v>196193</v>
      </c>
    </row>
    <row r="38" spans="1:9" ht="16.5" thickBot="1">
      <c r="A38" s="122" t="s">
        <v>97</v>
      </c>
      <c r="B38" s="238" t="s">
        <v>222</v>
      </c>
      <c r="C38" s="239"/>
      <c r="D38" s="240"/>
      <c r="E38" s="136" t="s">
        <v>217</v>
      </c>
      <c r="F38" s="124" t="s">
        <v>136</v>
      </c>
      <c r="G38" s="137">
        <v>0.8</v>
      </c>
      <c r="H38" s="138">
        <f t="shared" si="0"/>
        <v>14001</v>
      </c>
      <c r="I38" s="116"/>
    </row>
    <row r="39" spans="2:5" ht="15.75" customHeight="1">
      <c r="B39" s="247" t="s">
        <v>228</v>
      </c>
      <c r="C39" s="247"/>
      <c r="D39" s="247"/>
      <c r="E39" s="247"/>
    </row>
    <row r="41" spans="2:8" ht="15.75">
      <c r="B41" s="48" t="s">
        <v>220</v>
      </c>
      <c r="C41" s="48"/>
      <c r="D41" s="48"/>
      <c r="E41" s="33" t="s">
        <v>218</v>
      </c>
      <c r="F41" s="33"/>
      <c r="G41" s="33"/>
      <c r="H41" s="33"/>
    </row>
    <row r="43" spans="2:5" ht="15.75">
      <c r="B43" s="48" t="s">
        <v>221</v>
      </c>
      <c r="C43" s="48"/>
      <c r="D43" s="48"/>
      <c r="E43" t="s">
        <v>219</v>
      </c>
    </row>
  </sheetData>
  <sheetProtection/>
  <mergeCells count="30">
    <mergeCell ref="B37:F37"/>
    <mergeCell ref="B38:D38"/>
    <mergeCell ref="B39:E39"/>
    <mergeCell ref="B36:D36"/>
    <mergeCell ref="B33:D33"/>
    <mergeCell ref="B34:D34"/>
    <mergeCell ref="B35:D35"/>
    <mergeCell ref="B6:E6"/>
    <mergeCell ref="B27:D27"/>
    <mergeCell ref="B28:D28"/>
    <mergeCell ref="B29:D29"/>
    <mergeCell ref="B30:D30"/>
    <mergeCell ref="B31:D31"/>
    <mergeCell ref="B32:D32"/>
    <mergeCell ref="B23:D23"/>
    <mergeCell ref="B24:D24"/>
    <mergeCell ref="D1:H1"/>
    <mergeCell ref="A4:H4"/>
    <mergeCell ref="B13:D13"/>
    <mergeCell ref="B12:D12"/>
    <mergeCell ref="B25:D25"/>
    <mergeCell ref="B26:D26"/>
    <mergeCell ref="B14:F14"/>
    <mergeCell ref="B15:F15"/>
    <mergeCell ref="B16:F16"/>
    <mergeCell ref="B17:F17"/>
    <mergeCell ref="B19:D19"/>
    <mergeCell ref="B20:D20"/>
    <mergeCell ref="B21:D21"/>
    <mergeCell ref="B22:D2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1">
      <selection activeCell="O3" sqref="O3:O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22.50390625" style="0" hidden="1" customWidth="1"/>
    <col min="7" max="7" width="9.375" style="0" hidden="1" customWidth="1"/>
    <col min="8" max="8" width="13.125" style="0" hidden="1" customWidth="1"/>
    <col min="9" max="9" width="12.00390625" style="0" hidden="1" customWidth="1"/>
    <col min="10" max="10" width="14.50390625" style="114" hidden="1" customWidth="1"/>
    <col min="11" max="11" width="22.50390625" style="0" customWidth="1"/>
    <col min="12" max="13" width="0" style="0" hidden="1" customWidth="1"/>
  </cols>
  <sheetData>
    <row r="1" spans="1:11" ht="110.25" customHeight="1">
      <c r="A1" s="179" t="s">
        <v>243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68.25" customHeight="1">
      <c r="A2" s="188" t="s">
        <v>233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0" ht="31.5">
      <c r="A3" s="1" t="s">
        <v>82</v>
      </c>
      <c r="B3" s="1" t="s">
        <v>83</v>
      </c>
      <c r="C3" s="2"/>
      <c r="D3" s="140" t="s">
        <v>234</v>
      </c>
      <c r="E3" s="26">
        <v>4375.4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90</v>
      </c>
      <c r="F4" s="2"/>
      <c r="J4"/>
    </row>
    <row r="5" spans="2:10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3" ht="56.25" customHeight="1">
      <c r="A7" s="21" t="s">
        <v>61</v>
      </c>
      <c r="B7" s="204" t="s">
        <v>137</v>
      </c>
      <c r="C7" s="205"/>
      <c r="D7" s="206"/>
      <c r="E7" s="11" t="s">
        <v>6</v>
      </c>
      <c r="F7" s="11" t="s">
        <v>7</v>
      </c>
      <c r="G7" s="86" t="s">
        <v>235</v>
      </c>
      <c r="H7" s="141" t="s">
        <v>241</v>
      </c>
      <c r="I7" s="207" t="s">
        <v>251</v>
      </c>
      <c r="J7" s="208"/>
      <c r="K7" s="209"/>
      <c r="L7" s="56">
        <v>8</v>
      </c>
      <c r="M7" s="142" t="s">
        <v>236</v>
      </c>
    </row>
    <row r="8" spans="1:11" ht="15.75">
      <c r="A8" s="22">
        <v>1</v>
      </c>
      <c r="B8" s="193"/>
      <c r="C8" s="194"/>
      <c r="D8" s="194"/>
      <c r="E8" s="194"/>
      <c r="F8" s="195"/>
      <c r="G8" s="143"/>
      <c r="H8" s="143"/>
      <c r="I8" s="144" t="s">
        <v>139</v>
      </c>
      <c r="J8" s="89" t="s">
        <v>140</v>
      </c>
      <c r="K8" s="89" t="s">
        <v>141</v>
      </c>
    </row>
    <row r="9" spans="1:11" ht="15.75">
      <c r="A9" s="22"/>
      <c r="B9" s="193" t="s">
        <v>142</v>
      </c>
      <c r="C9" s="194"/>
      <c r="D9" s="194"/>
      <c r="E9" s="194"/>
      <c r="F9" s="195"/>
      <c r="G9" s="57"/>
      <c r="H9" s="57"/>
      <c r="I9" s="57"/>
      <c r="J9" s="57"/>
      <c r="K9" s="89"/>
    </row>
    <row r="10" spans="1:11" ht="15.75" customHeight="1">
      <c r="A10" s="91"/>
      <c r="B10" s="196" t="s">
        <v>143</v>
      </c>
      <c r="C10" s="196"/>
      <c r="D10" s="196"/>
      <c r="E10" s="196"/>
      <c r="F10" s="196"/>
      <c r="G10" s="17"/>
      <c r="H10" s="17"/>
      <c r="I10" s="145">
        <v>348481.48</v>
      </c>
      <c r="J10" s="77"/>
      <c r="K10" s="58">
        <f>I10+J10</f>
        <v>348481.48</v>
      </c>
    </row>
    <row r="11" spans="1:11" ht="15.75" customHeight="1">
      <c r="A11" s="91"/>
      <c r="B11" s="196" t="s">
        <v>144</v>
      </c>
      <c r="C11" s="196"/>
      <c r="D11" s="196"/>
      <c r="E11" s="196"/>
      <c r="F11" s="196"/>
      <c r="G11" s="17"/>
      <c r="H11" s="17"/>
      <c r="I11" s="146">
        <v>20714.38</v>
      </c>
      <c r="J11" s="77"/>
      <c r="K11" s="58">
        <f>I11+J11</f>
        <v>20714.38</v>
      </c>
    </row>
    <row r="12" spans="1:11" ht="15.75" customHeight="1">
      <c r="A12" s="22"/>
      <c r="B12" s="196" t="s">
        <v>145</v>
      </c>
      <c r="C12" s="196"/>
      <c r="D12" s="196"/>
      <c r="E12" s="196"/>
      <c r="F12" s="196"/>
      <c r="G12" s="17"/>
      <c r="H12" s="17"/>
      <c r="I12" s="145"/>
      <c r="J12" s="77">
        <v>0</v>
      </c>
      <c r="K12" s="58">
        <f>I12+J12</f>
        <v>0</v>
      </c>
    </row>
    <row r="13" spans="1:11" ht="15.75" customHeight="1">
      <c r="A13" s="22"/>
      <c r="B13" s="196" t="s">
        <v>146</v>
      </c>
      <c r="C13" s="196"/>
      <c r="D13" s="196"/>
      <c r="E13" s="196"/>
      <c r="F13" s="196"/>
      <c r="G13" s="17"/>
      <c r="H13" s="17"/>
      <c r="I13" s="145">
        <v>0</v>
      </c>
      <c r="J13" s="93">
        <v>0</v>
      </c>
      <c r="K13" s="58">
        <f>I13+J13</f>
        <v>0</v>
      </c>
    </row>
    <row r="14" spans="1:11" ht="15.75" customHeight="1">
      <c r="A14" s="22"/>
      <c r="B14" s="185" t="s">
        <v>147</v>
      </c>
      <c r="C14" s="185"/>
      <c r="D14" s="185"/>
      <c r="E14" s="185"/>
      <c r="F14" s="185"/>
      <c r="G14" s="17"/>
      <c r="H14" s="17"/>
      <c r="I14" s="41">
        <f>SUM(I10:I12)</f>
        <v>369195.86</v>
      </c>
      <c r="J14" s="94">
        <f>SUM(J10:J12)</f>
        <v>0</v>
      </c>
      <c r="K14" s="95">
        <f>SUM(K10:K13)</f>
        <v>369195.86</v>
      </c>
    </row>
    <row r="15" spans="1:11" ht="18.75" customHeight="1">
      <c r="A15" s="22">
        <v>2</v>
      </c>
      <c r="B15" s="248" t="s">
        <v>74</v>
      </c>
      <c r="C15" s="248"/>
      <c r="D15" s="248"/>
      <c r="E15" s="248"/>
      <c r="F15" s="248"/>
      <c r="G15" s="17"/>
      <c r="H15" s="17"/>
      <c r="I15" s="145"/>
      <c r="J15" s="77"/>
      <c r="K15" s="34"/>
    </row>
    <row r="16" spans="1:11" ht="15.75">
      <c r="A16" s="22" t="s">
        <v>148</v>
      </c>
      <c r="B16" s="147" t="s">
        <v>75</v>
      </c>
      <c r="C16" s="147"/>
      <c r="D16" s="147"/>
      <c r="E16" s="147"/>
      <c r="F16" s="148"/>
      <c r="G16" s="144"/>
      <c r="H16" s="144"/>
      <c r="I16" s="144"/>
      <c r="J16" s="85"/>
      <c r="K16" s="89"/>
    </row>
    <row r="17" spans="1:11" ht="15.75" customHeight="1">
      <c r="A17" s="96"/>
      <c r="B17" s="251" t="s">
        <v>237</v>
      </c>
      <c r="C17" s="251"/>
      <c r="D17" s="251"/>
      <c r="E17" s="97" t="s">
        <v>32</v>
      </c>
      <c r="F17" s="6" t="s">
        <v>24</v>
      </c>
      <c r="G17" s="81">
        <v>1.06</v>
      </c>
      <c r="H17" s="81">
        <v>1.12</v>
      </c>
      <c r="I17" s="44">
        <f>ROUND($E$3*G17*6,2)+ROUND($E$3*H17*($L$7-6),2)</f>
        <v>37628.44</v>
      </c>
      <c r="J17" s="99"/>
      <c r="K17" s="100">
        <f>SUM(I17:J17)</f>
        <v>37628.44</v>
      </c>
    </row>
    <row r="18" spans="1:11" ht="36" customHeight="1">
      <c r="A18" s="22"/>
      <c r="B18" s="252" t="s">
        <v>17</v>
      </c>
      <c r="C18" s="252"/>
      <c r="D18" s="252"/>
      <c r="E18" s="97" t="s">
        <v>32</v>
      </c>
      <c r="F18" s="6" t="s">
        <v>19</v>
      </c>
      <c r="G18" s="81">
        <v>0.28</v>
      </c>
      <c r="H18" s="81">
        <v>0.3</v>
      </c>
      <c r="I18" s="44">
        <f>ROUND($E$3*G18*6,2)+ROUND($E$3*H18*($L$7-6),2)</f>
        <v>9975.91</v>
      </c>
      <c r="J18" s="99"/>
      <c r="K18" s="100">
        <f aca="true" t="shared" si="0" ref="K18:K37">SUM(I18:J18)</f>
        <v>9975.91</v>
      </c>
    </row>
    <row r="19" spans="1:11" ht="20.25" customHeight="1">
      <c r="A19" s="22"/>
      <c r="B19" s="249" t="s">
        <v>23</v>
      </c>
      <c r="C19" s="249"/>
      <c r="D19" s="249"/>
      <c r="E19" s="101" t="s">
        <v>149</v>
      </c>
      <c r="F19" s="7" t="s">
        <v>20</v>
      </c>
      <c r="G19" s="81">
        <v>0.39</v>
      </c>
      <c r="H19" s="81">
        <v>0.41</v>
      </c>
      <c r="I19" s="44">
        <f>K19-J19</f>
        <v>8421.05</v>
      </c>
      <c r="J19" s="99"/>
      <c r="K19" s="102">
        <v>8421.05</v>
      </c>
    </row>
    <row r="20" spans="1:11" ht="20.25" customHeight="1">
      <c r="A20" s="96"/>
      <c r="B20" s="251" t="s">
        <v>31</v>
      </c>
      <c r="C20" s="251"/>
      <c r="D20" s="251"/>
      <c r="E20" s="103" t="s">
        <v>9</v>
      </c>
      <c r="F20" s="8" t="s">
        <v>10</v>
      </c>
      <c r="G20" s="81">
        <v>0.51</v>
      </c>
      <c r="H20" s="81">
        <v>0.54</v>
      </c>
      <c r="I20" s="44">
        <f>ROUND($E$3*G20*6,2)+ROUND($E$3*H20*($L$7-6),2)</f>
        <v>18114.15</v>
      </c>
      <c r="J20" s="99"/>
      <c r="K20" s="100">
        <f t="shared" si="0"/>
        <v>18114.15</v>
      </c>
    </row>
    <row r="21" spans="1:11" ht="57.75" customHeight="1">
      <c r="A21" s="22"/>
      <c r="B21" s="249" t="s">
        <v>27</v>
      </c>
      <c r="C21" s="249"/>
      <c r="D21" s="249"/>
      <c r="E21" s="101" t="s">
        <v>150</v>
      </c>
      <c r="F21" s="7" t="s">
        <v>25</v>
      </c>
      <c r="G21" s="81">
        <v>0.12</v>
      </c>
      <c r="H21" s="81">
        <v>0.13</v>
      </c>
      <c r="I21" s="44">
        <f>K21-J21</f>
        <v>4439.88</v>
      </c>
      <c r="J21" s="99"/>
      <c r="K21" s="102">
        <v>4439.88</v>
      </c>
    </row>
    <row r="22" spans="1:11" ht="20.25" customHeight="1">
      <c r="A22" s="96"/>
      <c r="B22" s="249" t="s">
        <v>11</v>
      </c>
      <c r="C22" s="249"/>
      <c r="D22" s="249"/>
      <c r="E22" s="101" t="s">
        <v>9</v>
      </c>
      <c r="F22" s="7" t="s">
        <v>12</v>
      </c>
      <c r="G22" s="81">
        <v>0</v>
      </c>
      <c r="H22" s="139">
        <v>0</v>
      </c>
      <c r="I22" s="44">
        <f>ROUND($E$3*G22*6,2)+ROUND($E$3*H22*($L$7-6),2)</f>
        <v>0</v>
      </c>
      <c r="J22" s="99"/>
      <c r="K22" s="100">
        <f t="shared" si="0"/>
        <v>0</v>
      </c>
    </row>
    <row r="23" spans="1:11" ht="31.5" customHeight="1">
      <c r="A23" s="96"/>
      <c r="B23" s="249" t="s">
        <v>26</v>
      </c>
      <c r="C23" s="250"/>
      <c r="D23" s="250"/>
      <c r="E23" s="104" t="s">
        <v>13</v>
      </c>
      <c r="F23" s="9" t="s">
        <v>14</v>
      </c>
      <c r="G23" s="81">
        <v>0.05</v>
      </c>
      <c r="H23" s="81">
        <v>0.05</v>
      </c>
      <c r="I23" s="44">
        <f>K23-J23</f>
        <v>5326.2</v>
      </c>
      <c r="J23" s="99"/>
      <c r="K23" s="102">
        <v>5326.2</v>
      </c>
    </row>
    <row r="24" spans="1:11" ht="56.25" customHeight="1">
      <c r="A24" s="22"/>
      <c r="B24" s="249" t="s">
        <v>151</v>
      </c>
      <c r="C24" s="249"/>
      <c r="D24" s="249"/>
      <c r="E24" s="97" t="s">
        <v>227</v>
      </c>
      <c r="F24" s="39" t="s">
        <v>81</v>
      </c>
      <c r="G24" s="81">
        <v>2.15</v>
      </c>
      <c r="H24" s="81">
        <v>2.28</v>
      </c>
      <c r="I24" s="44">
        <f>ROUND($E$3*G24*6,2)+ROUND($E$3*H24*($L$7-6),2)</f>
        <v>76394.48000000001</v>
      </c>
      <c r="J24" s="99"/>
      <c r="K24" s="100">
        <f t="shared" si="0"/>
        <v>76394.48000000001</v>
      </c>
    </row>
    <row r="25" spans="1:11" ht="63.75" customHeight="1">
      <c r="A25" s="22"/>
      <c r="B25" s="252" t="s">
        <v>15</v>
      </c>
      <c r="C25" s="252"/>
      <c r="D25" s="252"/>
      <c r="E25" s="97" t="s">
        <v>135</v>
      </c>
      <c r="F25" s="39" t="s">
        <v>81</v>
      </c>
      <c r="G25" s="81">
        <v>0.44</v>
      </c>
      <c r="H25" s="81">
        <v>0.47</v>
      </c>
      <c r="I25" s="44">
        <f>K25-J25</f>
        <v>15870.14</v>
      </c>
      <c r="J25" s="99"/>
      <c r="K25" s="100">
        <v>15870.14</v>
      </c>
    </row>
    <row r="26" spans="1:11" ht="30" customHeight="1">
      <c r="A26" s="22"/>
      <c r="B26" s="253" t="s">
        <v>238</v>
      </c>
      <c r="C26" s="254"/>
      <c r="D26" s="255"/>
      <c r="E26" s="97" t="s">
        <v>36</v>
      </c>
      <c r="F26" s="39" t="s">
        <v>81</v>
      </c>
      <c r="G26" s="36">
        <f>3.46-G27-G28</f>
        <v>3.46</v>
      </c>
      <c r="H26" s="81">
        <f>3.67-H27-H28</f>
        <v>3.67</v>
      </c>
      <c r="I26" s="44">
        <f>ROUND($E$3*G26*6,2)+ROUND($E$3*H26*($L$7-6),2)</f>
        <v>122948.74</v>
      </c>
      <c r="J26" s="106"/>
      <c r="K26" s="100">
        <f t="shared" si="0"/>
        <v>122948.74</v>
      </c>
    </row>
    <row r="27" spans="1:11" ht="26.25" customHeight="1">
      <c r="A27" s="96"/>
      <c r="B27" s="249" t="s">
        <v>152</v>
      </c>
      <c r="C27" s="249"/>
      <c r="D27" s="249"/>
      <c r="E27" s="101" t="s">
        <v>9</v>
      </c>
      <c r="F27" s="39" t="s">
        <v>81</v>
      </c>
      <c r="G27" s="36">
        <v>0</v>
      </c>
      <c r="H27" s="139">
        <v>0</v>
      </c>
      <c r="I27" s="150">
        <f>ROUND($E$3*G27*6,2)+ROUND($E$3*H27*($L$7-6),2)</f>
        <v>0</v>
      </c>
      <c r="J27" s="106"/>
      <c r="K27" s="100">
        <f t="shared" si="0"/>
        <v>0</v>
      </c>
    </row>
    <row r="28" spans="1:11" ht="28.5" customHeight="1">
      <c r="A28" s="22"/>
      <c r="B28" s="249" t="s">
        <v>153</v>
      </c>
      <c r="C28" s="249"/>
      <c r="D28" s="249"/>
      <c r="E28" s="101" t="s">
        <v>9</v>
      </c>
      <c r="F28" s="39" t="s">
        <v>81</v>
      </c>
      <c r="G28" s="36">
        <v>0</v>
      </c>
      <c r="H28" s="139">
        <v>0</v>
      </c>
      <c r="I28" s="150">
        <f>ROUND($E$3*G28*6,2)+ROUND($E$3*H28*($L$7-6),2)</f>
        <v>0</v>
      </c>
      <c r="J28" s="106"/>
      <c r="K28" s="100">
        <f t="shared" si="0"/>
        <v>0</v>
      </c>
    </row>
    <row r="29" spans="1:11" ht="27" customHeight="1">
      <c r="A29" s="22"/>
      <c r="B29" s="250" t="s">
        <v>21</v>
      </c>
      <c r="C29" s="250"/>
      <c r="D29" s="250"/>
      <c r="E29" s="97" t="s">
        <v>36</v>
      </c>
      <c r="F29" s="39" t="s">
        <v>81</v>
      </c>
      <c r="G29" s="79">
        <v>1.06</v>
      </c>
      <c r="H29" s="81">
        <v>1.12</v>
      </c>
      <c r="I29" s="44">
        <f>ROUND($E$3*G29*6,2)+ROUND($E$3*H29*($L$7-6),2)</f>
        <v>37628.44</v>
      </c>
      <c r="J29" s="99"/>
      <c r="K29" s="100">
        <f t="shared" si="0"/>
        <v>37628.44</v>
      </c>
    </row>
    <row r="30" spans="1:11" ht="15.75">
      <c r="A30" s="22"/>
      <c r="B30" s="260"/>
      <c r="C30" s="254"/>
      <c r="D30" s="255"/>
      <c r="E30" s="135"/>
      <c r="F30" s="39"/>
      <c r="G30" s="9"/>
      <c r="H30" s="9"/>
      <c r="I30" s="151"/>
      <c r="J30" s="93"/>
      <c r="K30" s="152"/>
    </row>
    <row r="31" spans="1:11" ht="15.75">
      <c r="A31" s="22"/>
      <c r="B31" s="256" t="s">
        <v>30</v>
      </c>
      <c r="C31" s="256"/>
      <c r="D31" s="256"/>
      <c r="E31" s="22"/>
      <c r="F31" s="39"/>
      <c r="G31" s="23">
        <f>SUM(G17:G29)</f>
        <v>9.520000000000001</v>
      </c>
      <c r="H31" s="23">
        <f>SUM(H17:H29)</f>
        <v>10.09</v>
      </c>
      <c r="I31" s="95">
        <f>SUM(I17:I30)</f>
        <v>336747.43000000005</v>
      </c>
      <c r="J31" s="94"/>
      <c r="K31" s="95">
        <f>SUM(K17:K30)</f>
        <v>336747.43000000005</v>
      </c>
    </row>
    <row r="32" spans="1:11" ht="15.75" hidden="1">
      <c r="A32" s="22"/>
      <c r="B32" s="257" t="s">
        <v>154</v>
      </c>
      <c r="C32" s="258"/>
      <c r="D32" s="259"/>
      <c r="E32" s="135" t="s">
        <v>9</v>
      </c>
      <c r="F32" s="39"/>
      <c r="G32" s="9"/>
      <c r="H32" s="9"/>
      <c r="I32" s="151"/>
      <c r="J32" s="93"/>
      <c r="K32" s="152"/>
    </row>
    <row r="33" spans="1:11" ht="25.5" hidden="1">
      <c r="A33" s="22"/>
      <c r="B33" s="257" t="s">
        <v>155</v>
      </c>
      <c r="C33" s="258"/>
      <c r="D33" s="259"/>
      <c r="E33" s="149" t="s">
        <v>36</v>
      </c>
      <c r="F33" s="39"/>
      <c r="G33" s="9"/>
      <c r="H33" s="9"/>
      <c r="I33" s="151"/>
      <c r="J33" s="93"/>
      <c r="K33" s="152"/>
    </row>
    <row r="34" spans="1:11" ht="15.75" hidden="1">
      <c r="A34" s="22"/>
      <c r="B34" s="260"/>
      <c r="C34" s="254"/>
      <c r="D34" s="255"/>
      <c r="E34" s="135"/>
      <c r="F34" s="39"/>
      <c r="G34" s="9"/>
      <c r="H34" s="9"/>
      <c r="I34" s="151"/>
      <c r="J34" s="93"/>
      <c r="K34" s="152"/>
    </row>
    <row r="35" spans="1:11" ht="38.25" customHeight="1">
      <c r="A35" s="22" t="s">
        <v>156</v>
      </c>
      <c r="B35" s="211" t="s">
        <v>157</v>
      </c>
      <c r="C35" s="212"/>
      <c r="D35" s="212"/>
      <c r="E35" s="213"/>
      <c r="F35" s="39" t="s">
        <v>81</v>
      </c>
      <c r="G35" s="23">
        <f>I35/E3/6</f>
        <v>6.663352683945088</v>
      </c>
      <c r="H35" s="23">
        <v>0</v>
      </c>
      <c r="I35" s="153">
        <v>174929</v>
      </c>
      <c r="J35" s="110"/>
      <c r="K35" s="95">
        <f t="shared" si="0"/>
        <v>174929</v>
      </c>
    </row>
    <row r="36" spans="1:11" ht="15" customHeight="1">
      <c r="A36" s="25"/>
      <c r="B36" s="223" t="s">
        <v>76</v>
      </c>
      <c r="C36" s="223"/>
      <c r="D36" s="223"/>
      <c r="E36" s="223"/>
      <c r="F36" s="223"/>
      <c r="G36" s="23">
        <f>SUM(G31:G35)</f>
        <v>16.18335268394509</v>
      </c>
      <c r="H36" s="23">
        <f>SUM(H31:H35)</f>
        <v>10.09</v>
      </c>
      <c r="I36" s="154">
        <f>SUM(I31:I35)</f>
        <v>511676.43000000005</v>
      </c>
      <c r="J36" s="155"/>
      <c r="K36" s="155">
        <f>SUM(K31:K35)</f>
        <v>511676.43000000005</v>
      </c>
    </row>
    <row r="37" spans="1:11" ht="14.25" customHeight="1">
      <c r="A37" s="22" t="s">
        <v>158</v>
      </c>
      <c r="B37" s="223" t="s">
        <v>159</v>
      </c>
      <c r="C37" s="223"/>
      <c r="D37" s="223"/>
      <c r="E37" s="223"/>
      <c r="F37" s="223"/>
      <c r="G37" s="23"/>
      <c r="H37" s="23"/>
      <c r="I37" s="112">
        <v>0</v>
      </c>
      <c r="J37" s="112"/>
      <c r="K37" s="113">
        <f t="shared" si="0"/>
        <v>0</v>
      </c>
    </row>
    <row r="38" spans="1:11" ht="18.75">
      <c r="A38" s="25"/>
      <c r="B38" s="223" t="s">
        <v>160</v>
      </c>
      <c r="C38" s="223"/>
      <c r="D38" s="223"/>
      <c r="E38" s="223"/>
      <c r="F38" s="223"/>
      <c r="G38" s="23">
        <f>SUM(G36:G37)</f>
        <v>16.18335268394509</v>
      </c>
      <c r="H38" s="23">
        <f>SUM(H36:H37)</f>
        <v>10.09</v>
      </c>
      <c r="I38" s="154">
        <f>SUM(I36:I37)</f>
        <v>511676.43000000005</v>
      </c>
      <c r="J38" s="155"/>
      <c r="K38" s="155">
        <f>SUM(K36:K37)</f>
        <v>511676.43000000005</v>
      </c>
    </row>
    <row r="39" spans="1:11" ht="15" customHeight="1">
      <c r="A39" s="22">
        <v>3</v>
      </c>
      <c r="B39" s="241" t="s">
        <v>242</v>
      </c>
      <c r="C39" s="261"/>
      <c r="D39" s="261"/>
      <c r="E39" s="261"/>
      <c r="F39" s="261"/>
      <c r="G39" s="262"/>
      <c r="H39" s="156"/>
      <c r="I39" s="44">
        <f>I14-I38</f>
        <v>-142480.57000000007</v>
      </c>
      <c r="J39" s="44"/>
      <c r="K39" s="94">
        <f>K14-K38</f>
        <v>-142480.57000000007</v>
      </c>
    </row>
    <row r="40" spans="2:10" ht="15.75" customHeight="1">
      <c r="B40" s="33"/>
      <c r="F40" s="33"/>
      <c r="J40"/>
    </row>
    <row r="41" spans="2:10" ht="15.75">
      <c r="B41" s="224" t="s">
        <v>239</v>
      </c>
      <c r="C41" s="224"/>
      <c r="D41" s="224"/>
      <c r="E41" s="224"/>
      <c r="F41" s="224"/>
      <c r="G41" s="224"/>
      <c r="H41" s="224"/>
      <c r="I41" s="224"/>
      <c r="J41" s="224"/>
    </row>
    <row r="42" spans="2:10" ht="15.75">
      <c r="B42" s="33"/>
      <c r="C42" s="33"/>
      <c r="D42" s="33"/>
      <c r="J42"/>
    </row>
    <row r="43" spans="2:10" ht="15.75">
      <c r="B43" s="37" t="s">
        <v>79</v>
      </c>
      <c r="C43" s="37"/>
      <c r="D43" s="37"/>
      <c r="J43"/>
    </row>
    <row r="44" spans="2:10" ht="15.75">
      <c r="B44" s="33" t="s">
        <v>240</v>
      </c>
      <c r="C44" s="33"/>
      <c r="D44" s="33"/>
      <c r="E44" s="33"/>
      <c r="F44" s="33"/>
      <c r="G44" s="33"/>
      <c r="H44" s="33"/>
      <c r="I44" s="33"/>
      <c r="J44"/>
    </row>
    <row r="45" spans="2:10" ht="15.75" customHeight="1">
      <c r="B45" s="184" t="s">
        <v>86</v>
      </c>
      <c r="C45" s="184"/>
      <c r="D45" s="184"/>
      <c r="J45"/>
    </row>
    <row r="46" ht="15.75">
      <c r="J46"/>
    </row>
    <row r="47" spans="2:10" ht="15.75">
      <c r="B47" t="s">
        <v>244</v>
      </c>
      <c r="J47"/>
    </row>
    <row r="48" ht="15.75">
      <c r="J48"/>
    </row>
    <row r="49" ht="15.75">
      <c r="J49"/>
    </row>
    <row r="50" ht="15.75">
      <c r="J50"/>
    </row>
    <row r="51" ht="15.75">
      <c r="J51"/>
    </row>
    <row r="52" ht="15.75">
      <c r="J52"/>
    </row>
    <row r="53" ht="15.75">
      <c r="J53"/>
    </row>
    <row r="54" ht="15.75">
      <c r="J54"/>
    </row>
    <row r="55" ht="15.75">
      <c r="J55"/>
    </row>
    <row r="56" ht="15.75">
      <c r="J56"/>
    </row>
    <row r="57" ht="15.75">
      <c r="J57"/>
    </row>
    <row r="58" ht="15.75">
      <c r="J58"/>
    </row>
    <row r="59" ht="15.75">
      <c r="J59"/>
    </row>
    <row r="60" ht="15.75">
      <c r="J60"/>
    </row>
    <row r="61" ht="15.75">
      <c r="J61"/>
    </row>
    <row r="62" ht="15.75">
      <c r="J62"/>
    </row>
    <row r="63" ht="15.75">
      <c r="J63"/>
    </row>
  </sheetData>
  <sheetProtection/>
  <mergeCells count="37">
    <mergeCell ref="B33:D33"/>
    <mergeCell ref="B34:D34"/>
    <mergeCell ref="B45:D45"/>
    <mergeCell ref="I7:K7"/>
    <mergeCell ref="B35:E35"/>
    <mergeCell ref="B36:F36"/>
    <mergeCell ref="B39:G39"/>
    <mergeCell ref="B41:J41"/>
    <mergeCell ref="B37:F37"/>
    <mergeCell ref="B38:F38"/>
    <mergeCell ref="B25:D25"/>
    <mergeCell ref="B26:D26"/>
    <mergeCell ref="B31:D31"/>
    <mergeCell ref="B32:D32"/>
    <mergeCell ref="B29:D29"/>
    <mergeCell ref="B30:D30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A1:K1"/>
    <mergeCell ref="A2:K2"/>
    <mergeCell ref="B10:F10"/>
    <mergeCell ref="B11:F11"/>
    <mergeCell ref="B14:F14"/>
    <mergeCell ref="B15:F15"/>
    <mergeCell ref="B7:D7"/>
    <mergeCell ref="B8:F8"/>
    <mergeCell ref="B9:F9"/>
    <mergeCell ref="B12:F12"/>
    <mergeCell ref="B13:F13"/>
  </mergeCells>
  <printOptions/>
  <pageMargins left="0.31496062992125984" right="0" top="0" bottom="0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D1">
      <selection activeCell="H24" sqref="H24"/>
    </sheetView>
  </sheetViews>
  <sheetFormatPr defaultColWidth="9.00390625" defaultRowHeight="15.75"/>
  <cols>
    <col min="1" max="1" width="11.625" style="157" bestFit="1" customWidth="1"/>
    <col min="2" max="2" width="6.125" style="157" customWidth="1"/>
    <col min="3" max="3" width="12.625" style="157" bestFit="1" customWidth="1"/>
    <col min="4" max="4" width="10.00390625" style="157" bestFit="1" customWidth="1"/>
    <col min="5" max="6" width="12.625" style="157" bestFit="1" customWidth="1"/>
    <col min="7" max="7" width="10.75390625" style="157" customWidth="1"/>
    <col min="8" max="8" width="12.625" style="157" customWidth="1"/>
    <col min="9" max="9" width="11.625" style="157" customWidth="1"/>
    <col min="10" max="10" width="9.00390625" style="157" bestFit="1" customWidth="1"/>
    <col min="11" max="11" width="10.125" style="157" customWidth="1"/>
    <col min="12" max="12" width="11.875" style="157" bestFit="1" customWidth="1"/>
    <col min="13" max="13" width="12.625" style="157" bestFit="1" customWidth="1"/>
    <col min="14" max="14" width="11.00390625" style="157" bestFit="1" customWidth="1"/>
    <col min="15" max="15" width="12.625" style="157" bestFit="1" customWidth="1"/>
    <col min="16" max="16" width="12.625" style="157" customWidth="1"/>
    <col min="17" max="17" width="13.625" style="157" customWidth="1"/>
    <col min="18" max="18" width="12.625" style="157" bestFit="1" customWidth="1"/>
    <col min="19" max="19" width="11.875" style="157" customWidth="1"/>
    <col min="20" max="16384" width="9.00390625" style="157" customWidth="1"/>
  </cols>
  <sheetData>
    <row r="1" spans="1:19" ht="109.5" customHeight="1">
      <c r="A1" s="264" t="s">
        <v>195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19" ht="15.75" customHeight="1">
      <c r="A2" s="265" t="s">
        <v>163</v>
      </c>
      <c r="B2" s="266" t="s">
        <v>164</v>
      </c>
      <c r="C2" s="266" t="s">
        <v>165</v>
      </c>
      <c r="D2" s="266"/>
      <c r="E2" s="266"/>
      <c r="F2" s="266"/>
      <c r="G2" s="266"/>
      <c r="H2" s="266"/>
      <c r="I2" s="266"/>
      <c r="J2" s="267" t="s">
        <v>166</v>
      </c>
      <c r="K2" s="267"/>
      <c r="L2" s="267"/>
      <c r="M2" s="268" t="s">
        <v>167</v>
      </c>
      <c r="N2" s="266" t="s">
        <v>168</v>
      </c>
      <c r="O2" s="266"/>
      <c r="P2" s="266"/>
      <c r="Q2" s="266"/>
      <c r="R2" s="266"/>
      <c r="S2" s="273" t="s">
        <v>208</v>
      </c>
    </row>
    <row r="3" spans="1:19" ht="15.75">
      <c r="A3" s="266"/>
      <c r="B3" s="266"/>
      <c r="C3" s="274" t="s">
        <v>169</v>
      </c>
      <c r="D3" s="275"/>
      <c r="E3" s="276"/>
      <c r="F3" s="274" t="s">
        <v>170</v>
      </c>
      <c r="G3" s="275"/>
      <c r="H3" s="276"/>
      <c r="I3" s="265" t="s">
        <v>171</v>
      </c>
      <c r="J3" s="268" t="s">
        <v>172</v>
      </c>
      <c r="K3" s="272" t="s">
        <v>173</v>
      </c>
      <c r="L3" s="268" t="s">
        <v>174</v>
      </c>
      <c r="M3" s="269"/>
      <c r="N3" s="265" t="s">
        <v>175</v>
      </c>
      <c r="O3" s="266" t="s">
        <v>176</v>
      </c>
      <c r="P3" s="266" t="s">
        <v>177</v>
      </c>
      <c r="Q3" s="266" t="s">
        <v>178</v>
      </c>
      <c r="R3" s="266" t="s">
        <v>179</v>
      </c>
      <c r="S3" s="273"/>
    </row>
    <row r="4" spans="1:19" ht="47.25" customHeight="1">
      <c r="A4" s="266"/>
      <c r="B4" s="266"/>
      <c r="C4" s="158" t="s">
        <v>180</v>
      </c>
      <c r="D4" s="159" t="s">
        <v>178</v>
      </c>
      <c r="E4" s="159" t="s">
        <v>179</v>
      </c>
      <c r="F4" s="158" t="s">
        <v>180</v>
      </c>
      <c r="G4" s="159" t="s">
        <v>178</v>
      </c>
      <c r="H4" s="159" t="s">
        <v>179</v>
      </c>
      <c r="I4" s="265"/>
      <c r="J4" s="271"/>
      <c r="K4" s="270"/>
      <c r="L4" s="271"/>
      <c r="M4" s="270"/>
      <c r="N4" s="266"/>
      <c r="O4" s="266"/>
      <c r="P4" s="266"/>
      <c r="Q4" s="266"/>
      <c r="R4" s="266"/>
      <c r="S4" s="273"/>
    </row>
    <row r="5" spans="1:19" ht="31.5">
      <c r="A5" s="159">
        <v>1</v>
      </c>
      <c r="B5" s="159">
        <v>2</v>
      </c>
      <c r="C5" s="158">
        <v>3</v>
      </c>
      <c r="D5" s="159">
        <v>4</v>
      </c>
      <c r="E5" s="159" t="s">
        <v>181</v>
      </c>
      <c r="F5" s="158">
        <v>6</v>
      </c>
      <c r="G5" s="159">
        <v>7</v>
      </c>
      <c r="H5" s="159" t="s">
        <v>182</v>
      </c>
      <c r="I5" s="158" t="s">
        <v>183</v>
      </c>
      <c r="J5" s="159">
        <v>10</v>
      </c>
      <c r="K5" s="159">
        <v>11</v>
      </c>
      <c r="L5" s="158">
        <v>12</v>
      </c>
      <c r="M5" s="158" t="s">
        <v>184</v>
      </c>
      <c r="N5" s="159">
        <v>14</v>
      </c>
      <c r="O5" s="158">
        <v>15</v>
      </c>
      <c r="P5" s="159">
        <v>16</v>
      </c>
      <c r="Q5" s="159">
        <v>17</v>
      </c>
      <c r="R5" s="158" t="s">
        <v>185</v>
      </c>
      <c r="S5" s="160" t="s">
        <v>186</v>
      </c>
    </row>
    <row r="6" spans="1:19" ht="15.75">
      <c r="A6" s="161"/>
      <c r="B6" s="162" t="s">
        <v>187</v>
      </c>
      <c r="C6" s="161">
        <f>'2008'!D9</f>
        <v>289719.21</v>
      </c>
      <c r="D6" s="161">
        <f>'2008'!D13</f>
        <v>17028.47</v>
      </c>
      <c r="E6" s="161">
        <f>SUM(C6:D6)</f>
        <v>306747.68000000005</v>
      </c>
      <c r="F6" s="161">
        <f>'2008'!D10</f>
        <v>279143.26</v>
      </c>
      <c r="G6" s="161">
        <f>'2008'!D14</f>
        <v>16519.98</v>
      </c>
      <c r="H6" s="161">
        <f>SUM(F6:G6)</f>
        <v>295663.24</v>
      </c>
      <c r="I6" s="163">
        <f>E6-H6</f>
        <v>11084.44000000006</v>
      </c>
      <c r="J6" s="161">
        <v>0</v>
      </c>
      <c r="K6" s="161">
        <v>0</v>
      </c>
      <c r="L6" s="161">
        <v>350123.05</v>
      </c>
      <c r="M6" s="161">
        <f>H6+J6+K6+L6</f>
        <v>645786.29</v>
      </c>
      <c r="N6" s="161">
        <f>'2008'!D23</f>
        <v>31869.113100000002</v>
      </c>
      <c r="O6" s="161">
        <f>'2008'!D24</f>
        <v>202803.44700000001</v>
      </c>
      <c r="P6" s="161">
        <f>'2008'!D25</f>
        <v>150810</v>
      </c>
      <c r="Q6" s="163">
        <v>433835.58</v>
      </c>
      <c r="R6" s="161">
        <f>SUM(N6:Q6)</f>
        <v>819318.1401</v>
      </c>
      <c r="S6" s="161">
        <f>M6-R6</f>
        <v>-173531.85009999992</v>
      </c>
    </row>
    <row r="7" spans="1:19" ht="15.75">
      <c r="A7" s="161">
        <f>S6</f>
        <v>-173531.85009999992</v>
      </c>
      <c r="B7" s="162" t="s">
        <v>188</v>
      </c>
      <c r="C7" s="161">
        <f>'отчет 2009'!H10</f>
        <v>450246.98</v>
      </c>
      <c r="D7" s="161">
        <v>26320.84</v>
      </c>
      <c r="E7" s="161">
        <f>SUM(C7:D7)</f>
        <v>476567.82</v>
      </c>
      <c r="F7" s="161">
        <f>'отчет 2009'!H13</f>
        <v>444056.15</v>
      </c>
      <c r="G7" s="161">
        <v>25776.25</v>
      </c>
      <c r="H7" s="161">
        <f>SUM(F7:G7)</f>
        <v>469832.4</v>
      </c>
      <c r="I7" s="163">
        <f>E7-H7</f>
        <v>6735.419999999984</v>
      </c>
      <c r="J7" s="161">
        <v>0</v>
      </c>
      <c r="K7" s="161">
        <v>0</v>
      </c>
      <c r="L7" s="161">
        <v>0</v>
      </c>
      <c r="M7" s="161">
        <f>H7+J7+K7+L7</f>
        <v>469832.4</v>
      </c>
      <c r="N7" s="161">
        <f>'отчет 2009'!H31</f>
        <v>46812.48</v>
      </c>
      <c r="O7" s="161">
        <f>'отчет 2009'!H32-'отчет 2009'!H31</f>
        <v>372903.95999999996</v>
      </c>
      <c r="P7" s="161">
        <f>'отчет 2009'!H33</f>
        <v>95390</v>
      </c>
      <c r="Q7" s="163">
        <v>0</v>
      </c>
      <c r="R7" s="161">
        <f>SUM(N7:Q7)</f>
        <v>515106.43999999994</v>
      </c>
      <c r="S7" s="161">
        <f>M7-R7</f>
        <v>-45274.03999999992</v>
      </c>
    </row>
    <row r="8" spans="1:19" ht="15.75">
      <c r="A8" s="161">
        <f>A7+S7</f>
        <v>-218805.89009999984</v>
      </c>
      <c r="B8" s="162" t="s">
        <v>189</v>
      </c>
      <c r="C8" s="161">
        <v>481442.76</v>
      </c>
      <c r="D8" s="161">
        <v>27858.03</v>
      </c>
      <c r="E8" s="161">
        <f>SUM(C8:D8)</f>
        <v>509300.79000000004</v>
      </c>
      <c r="F8" s="161">
        <f>'отчет 2010'!H10</f>
        <v>458770.93</v>
      </c>
      <c r="G8" s="161">
        <f>'отчет 2010'!H11</f>
        <v>26563.34</v>
      </c>
      <c r="H8" s="161">
        <f>SUM(F8:G8)</f>
        <v>485334.27</v>
      </c>
      <c r="I8" s="163">
        <f>E8-H8</f>
        <v>23966.52000000002</v>
      </c>
      <c r="J8" s="161">
        <v>0</v>
      </c>
      <c r="K8" s="161">
        <v>0</v>
      </c>
      <c r="L8" s="161">
        <v>0</v>
      </c>
      <c r="M8" s="161">
        <f>H8+J8+K8+L8</f>
        <v>485334.27</v>
      </c>
      <c r="N8" s="161">
        <f>'отчет 2010'!J29</f>
        <v>48940.32</v>
      </c>
      <c r="O8" s="161">
        <f>'отчет 2010'!J34-'отчет 2010'!J29</f>
        <v>384819.83</v>
      </c>
      <c r="P8" s="161">
        <f>'отчет 2010'!H35</f>
        <v>238080</v>
      </c>
      <c r="Q8" s="163">
        <f>'отчет 2010'!H37</f>
        <v>0</v>
      </c>
      <c r="R8" s="161">
        <f>SUM(N8:Q8)</f>
        <v>671840.15</v>
      </c>
      <c r="S8" s="161">
        <f>M8-R8</f>
        <v>-186505.88</v>
      </c>
    </row>
    <row r="9" spans="1:19" ht="15.75">
      <c r="A9" s="161">
        <f>A8+S8</f>
        <v>-405311.77009999985</v>
      </c>
      <c r="B9" s="162" t="s">
        <v>190</v>
      </c>
      <c r="C9" s="161">
        <v>554685.6</v>
      </c>
      <c r="D9" s="161">
        <v>32542.87</v>
      </c>
      <c r="E9" s="161">
        <f>SUM(C9:D9)</f>
        <v>587228.47</v>
      </c>
      <c r="F9" s="161">
        <f>'отчет 2011'!H10</f>
        <v>547966.76</v>
      </c>
      <c r="G9" s="161">
        <f>'отчет 2011'!H11</f>
        <v>31985.61</v>
      </c>
      <c r="H9" s="161">
        <f>SUM(F9:G9)</f>
        <v>579952.37</v>
      </c>
      <c r="I9" s="163">
        <f>E9-H9</f>
        <v>7276.099999999977</v>
      </c>
      <c r="J9" s="161">
        <f>'отчет 2011'!I12</f>
        <v>0</v>
      </c>
      <c r="K9" s="161">
        <f>'отчет 2011'!I13</f>
        <v>0</v>
      </c>
      <c r="L9" s="161">
        <f>'отчет 2011'!H13</f>
        <v>0</v>
      </c>
      <c r="M9" s="161">
        <f>H9+J9+K9+L9</f>
        <v>579952.37</v>
      </c>
      <c r="N9" s="161">
        <f>'отчет 2011'!J29</f>
        <v>56387.76</v>
      </c>
      <c r="O9" s="161">
        <f>'отчет 2011'!J32-'отчет 2011'!J29</f>
        <v>443155.68</v>
      </c>
      <c r="P9" s="161">
        <f>'отчет 2011'!H36</f>
        <v>117442.3</v>
      </c>
      <c r="Q9" s="164">
        <f>'отчет 2011'!H38</f>
        <v>0</v>
      </c>
      <c r="R9" s="161">
        <f>SUM(N9:Q9)</f>
        <v>616985.74</v>
      </c>
      <c r="S9" s="161">
        <f>M9-R9</f>
        <v>-37033.369999999995</v>
      </c>
    </row>
    <row r="10" spans="1:19" ht="15.75">
      <c r="A10" s="161">
        <f>A9+S9</f>
        <v>-442345.14009999984</v>
      </c>
      <c r="B10" s="162" t="s">
        <v>191</v>
      </c>
      <c r="C10" s="161">
        <v>375549.48</v>
      </c>
      <c r="D10" s="161">
        <v>22259.42</v>
      </c>
      <c r="E10" s="161">
        <f>SUM(C10:D10)</f>
        <v>397808.89999999997</v>
      </c>
      <c r="F10" s="161">
        <f>'отчет 2012(01-08)'!I10</f>
        <v>348481.48</v>
      </c>
      <c r="G10" s="161">
        <f>'отчет 2012(01-08)'!I11</f>
        <v>20714.38</v>
      </c>
      <c r="H10" s="161">
        <f>SUM(F10:G10)</f>
        <v>369195.86</v>
      </c>
      <c r="I10" s="163">
        <f>E10-H10</f>
        <v>28613.03999999998</v>
      </c>
      <c r="J10" s="161">
        <f>'отчет 2011'!I13</f>
        <v>0</v>
      </c>
      <c r="K10" s="161">
        <f>'отчет 2011'!I14</f>
        <v>0</v>
      </c>
      <c r="L10" s="161">
        <v>0</v>
      </c>
      <c r="M10" s="161">
        <f>H10+J10+K10+L10</f>
        <v>369195.86</v>
      </c>
      <c r="N10" s="161">
        <f>'отчет 2012(01-08)'!K29</f>
        <v>37628.44</v>
      </c>
      <c r="O10" s="161">
        <f>'отчет 2012(01-08)'!K31-'отчет 2012(01-08)'!K29</f>
        <v>299118.99000000005</v>
      </c>
      <c r="P10" s="161">
        <f>'отчет 2012(01-08)'!I35</f>
        <v>174929</v>
      </c>
      <c r="Q10" s="164">
        <f>'отчет 2012(01-08)'!I37</f>
        <v>0</v>
      </c>
      <c r="R10" s="161">
        <f>SUM(N10:Q10)</f>
        <v>511676.43000000005</v>
      </c>
      <c r="S10" s="161">
        <f>M10-R10</f>
        <v>-142480.57000000007</v>
      </c>
    </row>
    <row r="11" spans="1:19" ht="15.75">
      <c r="A11" s="164"/>
      <c r="B11" s="162" t="s">
        <v>192</v>
      </c>
      <c r="C11" s="165">
        <f aca="true" t="shared" si="0" ref="C11:S11">SUM(C6:C10)</f>
        <v>2151644.03</v>
      </c>
      <c r="D11" s="165">
        <f t="shared" si="0"/>
        <v>126009.62999999999</v>
      </c>
      <c r="E11" s="165">
        <f t="shared" si="0"/>
        <v>2277653.66</v>
      </c>
      <c r="F11" s="165">
        <f t="shared" si="0"/>
        <v>2078418.58</v>
      </c>
      <c r="G11" s="165">
        <f t="shared" si="0"/>
        <v>121559.56</v>
      </c>
      <c r="H11" s="165">
        <f t="shared" si="0"/>
        <v>2199978.14</v>
      </c>
      <c r="I11" s="165">
        <f t="shared" si="0"/>
        <v>77675.52000000002</v>
      </c>
      <c r="J11" s="165">
        <f t="shared" si="0"/>
        <v>0</v>
      </c>
      <c r="K11" s="165">
        <f t="shared" si="0"/>
        <v>0</v>
      </c>
      <c r="L11" s="165">
        <f t="shared" si="0"/>
        <v>350123.05</v>
      </c>
      <c r="M11" s="165">
        <f t="shared" si="0"/>
        <v>2550101.19</v>
      </c>
      <c r="N11" s="165">
        <f t="shared" si="0"/>
        <v>221638.11310000002</v>
      </c>
      <c r="O11" s="165">
        <f t="shared" si="0"/>
        <v>1702801.907</v>
      </c>
      <c r="P11" s="165">
        <f t="shared" si="0"/>
        <v>776651.3</v>
      </c>
      <c r="Q11" s="165">
        <f t="shared" si="0"/>
        <v>433835.58</v>
      </c>
      <c r="R11" s="165">
        <f t="shared" si="0"/>
        <v>3134926.9000999997</v>
      </c>
      <c r="S11" s="165">
        <f t="shared" si="0"/>
        <v>-584825.7100999999</v>
      </c>
    </row>
    <row r="13" spans="1:8" ht="18.75">
      <c r="A13" s="263" t="s">
        <v>245</v>
      </c>
      <c r="B13" s="263"/>
      <c r="C13" s="263"/>
      <c r="D13" s="263"/>
      <c r="E13" s="263" t="s">
        <v>246</v>
      </c>
      <c r="F13" s="263"/>
      <c r="G13" s="263"/>
      <c r="H13" s="263"/>
    </row>
    <row r="14" spans="1:8" ht="18.75">
      <c r="A14" s="166"/>
      <c r="B14" s="166"/>
      <c r="C14" s="166"/>
      <c r="D14" s="166"/>
      <c r="E14" s="166"/>
      <c r="F14" s="166"/>
      <c r="G14" s="166"/>
      <c r="H14" s="166"/>
    </row>
    <row r="16" spans="2:3" ht="18.75">
      <c r="B16" s="167"/>
      <c r="C16" s="167"/>
    </row>
    <row r="17" spans="1:3" ht="18.75">
      <c r="A17" s="168" t="s">
        <v>247</v>
      </c>
      <c r="B17" s="166"/>
      <c r="C17" s="166"/>
    </row>
    <row r="18" spans="1:3" ht="18.75">
      <c r="A18" s="168" t="s">
        <v>248</v>
      </c>
      <c r="B18" s="166"/>
      <c r="C18" s="166"/>
    </row>
    <row r="19" spans="1:7" ht="18.75">
      <c r="A19" s="169" t="s">
        <v>249</v>
      </c>
      <c r="E19" s="263" t="s">
        <v>250</v>
      </c>
      <c r="F19" s="263"/>
      <c r="G19" s="263"/>
    </row>
    <row r="22" ht="15.75">
      <c r="A22" s="157" t="s">
        <v>244</v>
      </c>
    </row>
  </sheetData>
  <sheetProtection/>
  <mergeCells count="22">
    <mergeCell ref="S2:S4"/>
    <mergeCell ref="C3:E3"/>
    <mergeCell ref="F3:H3"/>
    <mergeCell ref="R3:R4"/>
    <mergeCell ref="N3:N4"/>
    <mergeCell ref="O3:O4"/>
    <mergeCell ref="P3:P4"/>
    <mergeCell ref="Q3:Q4"/>
    <mergeCell ref="A13:D13"/>
    <mergeCell ref="E13:H13"/>
    <mergeCell ref="K3:K4"/>
    <mergeCell ref="L3:L4"/>
    <mergeCell ref="E19:G19"/>
    <mergeCell ref="A1:S1"/>
    <mergeCell ref="A2:A4"/>
    <mergeCell ref="B2:B4"/>
    <mergeCell ref="C2:I2"/>
    <mergeCell ref="J2:L2"/>
    <mergeCell ref="M2:M4"/>
    <mergeCell ref="N2:R2"/>
    <mergeCell ref="I3:I4"/>
    <mergeCell ref="J3:J4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2013-02-25T09:48:32Z</cp:lastPrinted>
  <dcterms:created xsi:type="dcterms:W3CDTF">2009-08-26T03:25:10Z</dcterms:created>
  <dcterms:modified xsi:type="dcterms:W3CDTF">2013-04-07T14:33:57Z</dcterms:modified>
  <cp:category/>
  <cp:version/>
  <cp:contentType/>
  <cp:contentStatus/>
</cp:coreProperties>
</file>