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tabRatio="657" firstSheet="4" activeTab="4"/>
  </bookViews>
  <sheets>
    <sheet name="отчет 2011" sheetId="1" state="hidden" r:id="rId1"/>
    <sheet name="смета 2012" sheetId="2" state="hidden" r:id="rId2"/>
    <sheet name="07.12г." sheetId="3" state="hidden" r:id="rId3"/>
    <sheet name="план2013" sheetId="4" state="hidden" r:id="rId4"/>
    <sheet name="отчет 12. ( 09-12)" sheetId="5" r:id="rId5"/>
    <sheet name="накопит.12(09-12)" sheetId="6" state="hidden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<sst xmlns="http://schemas.openxmlformats.org/spreadsheetml/2006/main" count="452" uniqueCount="160">
  <si>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</si>
  <si>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</si>
  <si>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</si>
  <si>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</si>
  <si>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</si>
  <si>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</si>
  <si>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</si>
  <si>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</si>
  <si>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</si>
  <si>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</si>
  <si>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</si>
  <si>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</si>
  <si>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</si>
  <si>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</si>
  <si>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</si>
  <si>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</si>
  <si>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</si>
  <si>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</si>
  <si>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</si>
  <si>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</si>
  <si>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</si>
  <si>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</si>
  <si>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</si>
  <si>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</si>
  <si>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</si>
  <si>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</si>
  <si>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</si>
  <si>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</si>
  <si>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</si>
  <si>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</si>
  <si>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</si>
  <si>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</si>
  <si>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</si>
  <si>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</si>
  <si>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</si>
  <si>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</si>
  <si>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ООО "ОЖКС № 6"</t>
  </si>
  <si>
    <t>Адрес:</t>
  </si>
  <si>
    <t>пр. Ленина, 119 А</t>
  </si>
  <si>
    <t>Претензий по управлению нет (да)</t>
  </si>
  <si>
    <t>1.</t>
  </si>
  <si>
    <t>2.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</si>
  <si>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</si>
  <si>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</si>
  <si>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</si>
  <si>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</si>
  <si>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</si>
  <si>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6"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</si>
  <si>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</si>
  <si>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</si>
  <si>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</si>
  <si>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</si>
  <si>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</si>
  <si>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</si>
  <si>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</si>
  <si>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</si>
  <si>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</si>
  <si>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</si>
  <si>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</si>
  <si>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</si>
  <si>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</si>
  <si>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</si>
  <si>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</si>
  <si>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</si>
  <si>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</si>
  <si>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</si>
  <si>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</si>
  <si>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</si>
  <si>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</si>
  <si>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</si>
  <si>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</si>
  <si>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</si>
  <si>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</si>
  <si>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</si>
  <si>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</si>
  <si>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</si>
  <si>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</si>
  <si>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</si>
  <si>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</si>
  <si>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</si>
  <si>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</si>
  <si>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</si>
  <si>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</si>
  <si>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</si>
  <si>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</si>
  <si>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</si>
  <si>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</si>
  <si>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</si>
  <si>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</si>
  <si>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</si>
  <si>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</si>
  <si>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</si>
  <si>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</si>
  <si>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</si>
  <si>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</si>
  <si>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</si>
  <si>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Итого</t>
  </si>
  <si>
    <t xml:space="preserve">Директор ООО "ОЖКС № 6"                                                                         Л.И. Никашина                               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</si>
  <si>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</si>
  <si>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</si>
  <si>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>контейнерных площадок</t>
    </r>
  </si>
  <si>
    <t>по договору</t>
  </si>
  <si>
    <t>Обслуживание  бойлеров</t>
  </si>
  <si>
    <t>Всего затрат:</t>
  </si>
  <si>
    <t>Капитальный ремонт  (см. приложение)</t>
  </si>
  <si>
    <t xml:space="preserve">Директор ООО "ОЖКС № 6"                                                          Л.И. Никашина                           </t>
  </si>
  <si>
    <t>результат
 за год
(+эконом., 
-перерасх.)</t>
  </si>
  <si>
    <t>ОТЧЕТ
за  2011 г. о выполненнии условий  договора управления МКД 
№ 65/6 от 28.03.2008 г.,  заключенного между ООО "ОЖКС №6" 
и собственниками многоквартирного дома
по адресу:  пр. Ленина, 119 А</t>
  </si>
  <si>
    <t xml:space="preserve">                 Представитель собственников  - старший по дому 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2011 году.  </t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</si>
  <si>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</si>
  <si>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 ________________________</t>
  </si>
  <si>
    <t>Смета 
расходов и доходов  на  2012 г.
согласно договора управления МКД 
№65/6 от 28.03.2008 г.,  заключенного между ООО "ОЖКС №6" 
и собственниками многоквартирного дома
по адресу:  пр. Ленина, 119 А</t>
  </si>
  <si>
    <t xml:space="preserve"> Текущий ремонт общего имущества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</si>
  <si>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</si>
  <si>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Расчет стоимости договора и тарифа 1 м2 на 2012 г.</t>
  </si>
  <si>
    <t>по плану работ</t>
  </si>
  <si>
    <t xml:space="preserve">                       Представитель Собственников</t>
  </si>
  <si>
    <t xml:space="preserve">                           ________________________</t>
  </si>
  <si>
    <t xml:space="preserve">Директор ООО "Октябрьский ЖКС № 6"                       </t>
  </si>
  <si>
    <t>_________________ Л.И. Никашина</t>
  </si>
  <si>
    <t xml:space="preserve">Капитальный ремонт  </t>
  </si>
  <si>
    <t>Тариф с 1 сентября 2012 г. - 11,21 руб., капитальный ремонт - 0,80 руб.</t>
  </si>
  <si>
    <t>Тариф 
на 
1 кв.м. сентябрь-декабрь 2012г.
руб.</t>
  </si>
  <si>
    <t>Стоимость работ
сентябрь-декабрь 2012г.             руб.</t>
  </si>
  <si>
    <t>5=гр.4*Sдома*4мес.</t>
  </si>
  <si>
    <t>подметание асфальта -   1 раз/неделю,                
подбор мусора - ежедневно</t>
  </si>
  <si>
    <t>* в случае уточнения площадей возможно изменение стоимости</t>
  </si>
  <si>
    <t>1.1.</t>
  </si>
  <si>
    <t>1.2.</t>
  </si>
  <si>
    <t>1.3.</t>
  </si>
  <si>
    <t>Приложение №7 к Договору                                                                       на оказание услуг и выполнение работ                                                           по содержанию, текущему и капитальному ремонту                                                                 общего имущества МКД № ____ от __________20__г.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</si>
  <si>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</si>
  <si>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</si>
  <si>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</si>
  <si>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</si>
  <si>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</si>
  <si>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</si>
  <si>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</si>
  <si>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</si>
  <si>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Управление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</si>
  <si>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</si>
  <si>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</si>
  <si>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</si>
  <si>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Смета доходов и расходов на  2013 г. 
согласно договора на оказание услуг МКД № 23/6 от 08.09.2012 г., 
заключенного между ООО "ОЖКС № 6"   
и собственниками многоквартирного дома
по адресу:  пр. Ленина, 119 А</t>
  </si>
  <si>
    <t>Тариф 01.09.12г-31.12.12г.</t>
  </si>
  <si>
    <t>Сумма 
с 01.09.12г.-31.12.12г., руб.</t>
  </si>
  <si>
    <t>кол-во мес по нов. дог-ру</t>
  </si>
  <si>
    <t xml:space="preserve">Финансовый результат с 01.09.12 - 31.12.12г. (+ экономия,- перерасход)                                                      </t>
  </si>
  <si>
    <t xml:space="preserve">Директор ООО "ОЖКС № 6"                                                     Л.И. Никашина                               </t>
  </si>
  <si>
    <t>Совет МКД                                           ________________________</t>
  </si>
  <si>
    <t>Претензий по обслуживанию нет (да)</t>
  </si>
  <si>
    <t xml:space="preserve">Директор ООО "ОЖКС № 6"                                 </t>
  </si>
  <si>
    <t xml:space="preserve">____________ Л.И. Никашина                               </t>
  </si>
  <si>
    <t>Совет МКД</t>
  </si>
  <si>
    <t>_______________/___________/</t>
  </si>
  <si>
    <t>Исполнитель: Стыценкова И.А.</t>
  </si>
  <si>
    <t>ОТЧЕТ
по  договору оказания услуг МКД 
№ 23/6 от 09.09.12 г. г., заключенного между ООО "ОЖКС №6" и собственниками многоквартирного дома
по адресу:  пр. Ленина, 119 А</t>
  </si>
  <si>
    <t>ОТЧЕТ
с 01.09.12г по 31.12.12 г. о выполненнии условий  договора на оказание услуг МКД 
№ 23/6 от 09.09.12 г.,  заключенного между ООО "ОЖКС №6" 
и собственниками многоквартирного дома
по адресу:  пр. Ленина, 119 А</t>
  </si>
  <si>
    <t xml:space="preserve">             Совет МКД в лице 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с 01.09.12. по 31.12.12г.</t>
  </si>
  <si>
    <t>с 01.09.12г.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</si>
</sst>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3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/>
    </xf>
    <xf numFmtId="0" fontId="2" fillId="24" borderId="10" xfId="0" applyFont="1" applyFill="1" applyBorder="1" applyAlignment="1">
      <alignment/>
    </xf>
    <xf numFmtId="4" fontId="0" fillId="24" borderId="1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center" wrapText="1" shrinkToFit="1"/>
    </xf>
    <xf numFmtId="164" fontId="9" fillId="0" borderId="13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0" fontId="2" fillId="0" borderId="25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4" fontId="0" fillId="24" borderId="14" xfId="0" applyNumberFormat="1" applyFill="1" applyBorder="1" applyAlignment="1">
      <alignment/>
    </xf>
    <xf numFmtId="4" fontId="0" fillId="24" borderId="15" xfId="0" applyNumberFormat="1" applyFill="1" applyBorder="1" applyAlignment="1">
      <alignment/>
    </xf>
    <xf numFmtId="0" fontId="0" fillId="24" borderId="20" xfId="0" applyFill="1" applyBorder="1" applyAlignment="1">
      <alignment/>
    </xf>
    <xf numFmtId="0" fontId="2" fillId="24" borderId="16" xfId="0" applyFont="1" applyFill="1" applyBorder="1" applyAlignment="1">
      <alignment/>
    </xf>
    <xf numFmtId="4" fontId="2" fillId="24" borderId="16" xfId="0" applyNumberFormat="1" applyFont="1" applyFill="1" applyBorder="1" applyAlignment="1">
      <alignment/>
    </xf>
    <xf numFmtId="4" fontId="2" fillId="24" borderId="21" xfId="0" applyNumberFormat="1" applyFont="1" applyFill="1" applyBorder="1" applyAlignment="1">
      <alignment/>
    </xf>
    <xf numFmtId="0" fontId="29" fillId="24" borderId="0" xfId="0" applyFont="1" applyFill="1" applyAlignment="1">
      <alignment/>
    </xf>
    <xf numFmtId="2" fontId="29" fillId="24" borderId="0" xfId="0" applyNumberFormat="1" applyFont="1" applyFill="1" applyAlignment="1">
      <alignment/>
    </xf>
    <xf numFmtId="0" fontId="30" fillId="24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8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 shrinkToFit="1"/>
    </xf>
    <xf numFmtId="0" fontId="0" fillId="0" borderId="28" xfId="0" applyBorder="1" applyAlignment="1">
      <alignment horizontal="justify" wrapText="1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3;&#1088;&#1086;&#1074;&#1086;&#1083;&#1100;&#1089;&#1082;&#1086;&#1075;&#1086;,%201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07.12г"/>
      <sheetName val="план2013"/>
      <sheetName val="накопит отчет"/>
      <sheetName val="отчет2012(10-12)"/>
      <sheetName val="накопительный 2012 (10-12)"/>
    </sheetNames>
    <sheetDataSet>
      <sheetData sheetId="9">
        <row r="37">
          <cell r="J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125" style="0" customWidth="1"/>
    <col min="6" max="6" width="0.12890625" style="0" hidden="1" customWidth="1"/>
    <col min="7" max="7" width="12.125" style="0" hidden="1" customWidth="1"/>
    <col min="8" max="8" width="13.125" style="0" customWidth="1"/>
    <col min="9" max="9" width="12.00390625" style="0" customWidth="1"/>
    <col min="10" max="10" width="14.50390625" style="79" customWidth="1"/>
  </cols>
  <sheetData>
    <row r="1" spans="1:10" ht="110.25" customHeight="1">
      <c r="A1" s="158" t="s">
        <v>107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54" customHeight="1">
      <c r="A2" s="159" t="s">
        <v>108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.75">
      <c r="A3" s="1" t="s">
        <v>37</v>
      </c>
      <c r="B3" s="1" t="s">
        <v>38</v>
      </c>
      <c r="C3" s="2"/>
      <c r="D3" s="2" t="s">
        <v>0</v>
      </c>
      <c r="E3" s="21">
        <v>4433</v>
      </c>
      <c r="F3" s="2"/>
      <c r="J3"/>
    </row>
    <row r="4" spans="2:10" ht="15.75">
      <c r="B4" s="3" t="s">
        <v>1</v>
      </c>
      <c r="C4" s="25">
        <v>5</v>
      </c>
      <c r="D4" s="2" t="s">
        <v>2</v>
      </c>
      <c r="E4" s="22">
        <v>90</v>
      </c>
      <c r="F4" s="2"/>
      <c r="J4"/>
    </row>
    <row r="5" spans="2:10" ht="15.75">
      <c r="B5" s="3" t="s">
        <v>3</v>
      </c>
      <c r="C5" s="4">
        <v>6</v>
      </c>
      <c r="D5" s="2" t="s">
        <v>4</v>
      </c>
      <c r="E5" s="2" t="s">
        <v>15</v>
      </c>
      <c r="F5" s="2"/>
      <c r="G5" s="2"/>
      <c r="J5"/>
    </row>
    <row r="6" spans="2:10" ht="15.75">
      <c r="B6" s="3"/>
      <c r="C6" s="4"/>
      <c r="D6" s="2" t="s">
        <v>5</v>
      </c>
      <c r="E6" s="2" t="s">
        <v>15</v>
      </c>
      <c r="F6" s="2"/>
      <c r="G6" s="2"/>
      <c r="J6"/>
    </row>
    <row r="7" spans="1:10" ht="39" customHeight="1">
      <c r="A7" s="17" t="s">
        <v>31</v>
      </c>
      <c r="B7" s="160" t="s">
        <v>48</v>
      </c>
      <c r="C7" s="161"/>
      <c r="D7" s="162"/>
      <c r="E7" s="10" t="s">
        <v>6</v>
      </c>
      <c r="F7" s="10" t="s">
        <v>7</v>
      </c>
      <c r="G7" s="51" t="s">
        <v>20</v>
      </c>
      <c r="H7" s="163" t="s">
        <v>49</v>
      </c>
      <c r="I7" s="164"/>
      <c r="J7" s="165"/>
    </row>
    <row r="8" spans="1:10" ht="15.75">
      <c r="A8" s="18">
        <v>1</v>
      </c>
      <c r="B8" s="169"/>
      <c r="C8" s="170"/>
      <c r="D8" s="170"/>
      <c r="E8" s="170"/>
      <c r="F8" s="171"/>
      <c r="G8" s="52"/>
      <c r="H8" s="53" t="s">
        <v>50</v>
      </c>
      <c r="I8" s="54" t="s">
        <v>51</v>
      </c>
      <c r="J8" s="54" t="s">
        <v>52</v>
      </c>
    </row>
    <row r="9" spans="1:10" ht="15.75">
      <c r="A9" s="18"/>
      <c r="B9" s="169" t="s">
        <v>53</v>
      </c>
      <c r="C9" s="170"/>
      <c r="D9" s="170"/>
      <c r="E9" s="170"/>
      <c r="F9" s="171"/>
      <c r="G9" s="55"/>
      <c r="H9" s="55"/>
      <c r="I9" s="36"/>
      <c r="J9" s="54"/>
    </row>
    <row r="10" spans="1:10" ht="15.75">
      <c r="A10" s="56"/>
      <c r="B10" s="166" t="s">
        <v>54</v>
      </c>
      <c r="C10" s="166"/>
      <c r="D10" s="166"/>
      <c r="E10" s="166"/>
      <c r="F10" s="166"/>
      <c r="G10" s="13"/>
      <c r="H10" s="57">
        <v>547966.76</v>
      </c>
      <c r="I10" s="42"/>
      <c r="J10" s="37">
        <f>H10+I10</f>
        <v>547966.76</v>
      </c>
    </row>
    <row r="11" spans="1:10" ht="15.75">
      <c r="A11" s="56"/>
      <c r="B11" s="166" t="s">
        <v>55</v>
      </c>
      <c r="C11" s="166"/>
      <c r="D11" s="166"/>
      <c r="E11" s="166"/>
      <c r="F11" s="166"/>
      <c r="G11" s="13"/>
      <c r="H11" s="14">
        <v>31985.61</v>
      </c>
      <c r="I11" s="42"/>
      <c r="J11" s="37">
        <f>H11+I11</f>
        <v>31985.61</v>
      </c>
    </row>
    <row r="12" spans="1:10" ht="15.75">
      <c r="A12" s="18"/>
      <c r="B12" s="166" t="s">
        <v>56</v>
      </c>
      <c r="C12" s="166"/>
      <c r="D12" s="166"/>
      <c r="E12" s="166"/>
      <c r="F12" s="166"/>
      <c r="G12" s="13"/>
      <c r="H12" s="57"/>
      <c r="I12" s="42">
        <v>0</v>
      </c>
      <c r="J12" s="37">
        <f>H12+I12</f>
        <v>0</v>
      </c>
    </row>
    <row r="13" spans="1:10" ht="15.75">
      <c r="A13" s="18"/>
      <c r="B13" s="166" t="s">
        <v>57</v>
      </c>
      <c r="C13" s="166"/>
      <c r="D13" s="166"/>
      <c r="E13" s="166"/>
      <c r="F13" s="166"/>
      <c r="G13" s="13"/>
      <c r="H13" s="57">
        <v>0</v>
      </c>
      <c r="I13" s="58">
        <v>0</v>
      </c>
      <c r="J13" s="37">
        <f>H13+I13</f>
        <v>0</v>
      </c>
    </row>
    <row r="14" spans="1:10" ht="15.75">
      <c r="A14" s="18"/>
      <c r="B14" s="167" t="s">
        <v>58</v>
      </c>
      <c r="C14" s="167"/>
      <c r="D14" s="167"/>
      <c r="E14" s="167"/>
      <c r="F14" s="167"/>
      <c r="G14" s="13"/>
      <c r="H14" s="29">
        <f>SUM(H10:H13)</f>
        <v>579952.37</v>
      </c>
      <c r="I14" s="29">
        <f>SUM(I10:I13)</f>
        <v>0</v>
      </c>
      <c r="J14" s="29">
        <f>SUM(J10:J13)</f>
        <v>579952.37</v>
      </c>
    </row>
    <row r="15" spans="1:10" ht="18.75">
      <c r="A15" s="18">
        <v>2</v>
      </c>
      <c r="B15" s="168" t="s">
        <v>32</v>
      </c>
      <c r="C15" s="168"/>
      <c r="D15" s="168"/>
      <c r="E15" s="168"/>
      <c r="F15" s="168"/>
      <c r="G15" s="13"/>
      <c r="H15" s="57"/>
      <c r="I15" s="42"/>
      <c r="J15" s="33"/>
    </row>
    <row r="16" spans="1:10" ht="15.75">
      <c r="A16" s="18" t="s">
        <v>59</v>
      </c>
      <c r="B16" s="15" t="s">
        <v>33</v>
      </c>
      <c r="C16" s="15"/>
      <c r="D16" s="15"/>
      <c r="E16" s="15"/>
      <c r="F16" s="5"/>
      <c r="G16" s="53"/>
      <c r="H16" s="53"/>
      <c r="I16" s="50"/>
      <c r="J16" s="54"/>
    </row>
    <row r="17" spans="1:10" ht="33" customHeight="1">
      <c r="A17" s="61"/>
      <c r="B17" s="174" t="s">
        <v>45</v>
      </c>
      <c r="C17" s="174"/>
      <c r="D17" s="174"/>
      <c r="E17" s="62" t="s">
        <v>28</v>
      </c>
      <c r="F17" s="45" t="s">
        <v>22</v>
      </c>
      <c r="G17" s="46">
        <v>1.06</v>
      </c>
      <c r="H17" s="63">
        <f>ROUND(G17*$E$3*12,2)</f>
        <v>56387.76</v>
      </c>
      <c r="I17" s="64">
        <f>$I$12*0.08</f>
        <v>0</v>
      </c>
      <c r="J17" s="65">
        <f>SUM(H17:I17)</f>
        <v>56387.76</v>
      </c>
    </row>
    <row r="18" spans="1:10" ht="17.25" customHeight="1">
      <c r="A18" s="18"/>
      <c r="B18" s="175" t="s">
        <v>16</v>
      </c>
      <c r="C18" s="175"/>
      <c r="D18" s="175"/>
      <c r="E18" s="62" t="s">
        <v>28</v>
      </c>
      <c r="F18" s="45" t="s">
        <v>17</v>
      </c>
      <c r="G18" s="46">
        <v>0.28</v>
      </c>
      <c r="H18" s="63">
        <f>ROUND(G18*$E$3*12,2)</f>
        <v>14894.88</v>
      </c>
      <c r="I18" s="64">
        <f>$I$12*0.02</f>
        <v>0</v>
      </c>
      <c r="J18" s="65">
        <f>SUM(H18:I18)</f>
        <v>14894.88</v>
      </c>
    </row>
    <row r="19" spans="1:10" ht="20.25" customHeight="1">
      <c r="A19" s="18"/>
      <c r="B19" s="172" t="s">
        <v>21</v>
      </c>
      <c r="C19" s="172"/>
      <c r="D19" s="172"/>
      <c r="E19" s="66" t="s">
        <v>60</v>
      </c>
      <c r="F19" s="47" t="s">
        <v>18</v>
      </c>
      <c r="G19" s="46">
        <v>0.39</v>
      </c>
      <c r="H19" s="63">
        <f>J19-I19</f>
        <v>11316.97</v>
      </c>
      <c r="I19" s="64">
        <f>$I$12*0.07</f>
        <v>0</v>
      </c>
      <c r="J19" s="67">
        <v>11316.97</v>
      </c>
    </row>
    <row r="20" spans="1:10" ht="20.25" customHeight="1">
      <c r="A20" s="61"/>
      <c r="B20" s="174" t="s">
        <v>27</v>
      </c>
      <c r="C20" s="174"/>
      <c r="D20" s="174"/>
      <c r="E20" s="68" t="s">
        <v>8</v>
      </c>
      <c r="F20" s="48" t="s">
        <v>9</v>
      </c>
      <c r="G20" s="46">
        <v>0.51</v>
      </c>
      <c r="H20" s="63">
        <f>ROUND(G20*$E$3*12,2)</f>
        <v>27129.96</v>
      </c>
      <c r="I20" s="64">
        <f>$I$12*0.04</f>
        <v>0</v>
      </c>
      <c r="J20" s="65">
        <f>SUM(H20:I20)</f>
        <v>27129.96</v>
      </c>
    </row>
    <row r="21" spans="1:10" ht="60.75" customHeight="1">
      <c r="A21" s="18"/>
      <c r="B21" s="172" t="s">
        <v>25</v>
      </c>
      <c r="C21" s="172"/>
      <c r="D21" s="172"/>
      <c r="E21" s="66" t="s">
        <v>61</v>
      </c>
      <c r="F21" s="47" t="s">
        <v>23</v>
      </c>
      <c r="G21" s="46">
        <v>0.12</v>
      </c>
      <c r="H21" s="63">
        <f>J21-I21</f>
        <v>6264.11</v>
      </c>
      <c r="I21" s="64">
        <f>$I$12*0.01</f>
        <v>0</v>
      </c>
      <c r="J21" s="67">
        <v>6264.11</v>
      </c>
    </row>
    <row r="22" spans="1:10" ht="20.25" customHeight="1">
      <c r="A22" s="61"/>
      <c r="B22" s="172" t="s">
        <v>10</v>
      </c>
      <c r="C22" s="172"/>
      <c r="D22" s="172"/>
      <c r="E22" s="66" t="s">
        <v>8</v>
      </c>
      <c r="F22" s="47" t="s">
        <v>11</v>
      </c>
      <c r="G22" s="46">
        <v>0</v>
      </c>
      <c r="H22" s="63">
        <f>J22-I22</f>
        <v>0</v>
      </c>
      <c r="I22" s="64">
        <f>$I$12*0.15</f>
        <v>0</v>
      </c>
      <c r="J22" s="67">
        <f>G22*E3*12</f>
        <v>0</v>
      </c>
    </row>
    <row r="23" spans="1:10" ht="20.25" customHeight="1">
      <c r="A23" s="61"/>
      <c r="B23" s="172" t="s">
        <v>24</v>
      </c>
      <c r="C23" s="173"/>
      <c r="D23" s="173"/>
      <c r="E23" s="69" t="s">
        <v>12</v>
      </c>
      <c r="F23" s="44" t="s">
        <v>13</v>
      </c>
      <c r="G23" s="46">
        <v>0.05</v>
      </c>
      <c r="H23" s="63">
        <f>J23-I23</f>
        <v>5326.2</v>
      </c>
      <c r="I23" s="64">
        <f>$I$12*0.003</f>
        <v>0</v>
      </c>
      <c r="J23" s="67">
        <v>5326.2</v>
      </c>
    </row>
    <row r="24" spans="1:10" ht="28.5" customHeight="1">
      <c r="A24" s="18"/>
      <c r="B24" s="172" t="s">
        <v>62</v>
      </c>
      <c r="C24" s="172"/>
      <c r="D24" s="172"/>
      <c r="E24" s="62" t="s">
        <v>29</v>
      </c>
      <c r="F24" s="28" t="s">
        <v>36</v>
      </c>
      <c r="G24" s="46">
        <v>2.15</v>
      </c>
      <c r="H24" s="63">
        <f aca="true" t="shared" si="0" ref="H24:H29">ROUND(G24*$E$3*12,2)</f>
        <v>114371.4</v>
      </c>
      <c r="I24" s="64">
        <f>$I$12*0.19</f>
        <v>0</v>
      </c>
      <c r="J24" s="65">
        <f aca="true" t="shared" si="1" ref="J24:J29">SUM(H24:I24)</f>
        <v>114371.4</v>
      </c>
    </row>
    <row r="25" spans="1:10" ht="26.25" customHeight="1">
      <c r="A25" s="18"/>
      <c r="B25" s="175" t="s">
        <v>14</v>
      </c>
      <c r="C25" s="175"/>
      <c r="D25" s="175"/>
      <c r="E25" s="62" t="s">
        <v>29</v>
      </c>
      <c r="F25" s="28" t="s">
        <v>36</v>
      </c>
      <c r="G25" s="46">
        <v>0.44</v>
      </c>
      <c r="H25" s="70">
        <f>ROUND(G25*$E$3*12,2)</f>
        <v>23406.24</v>
      </c>
      <c r="I25" s="64">
        <v>0</v>
      </c>
      <c r="J25" s="65">
        <f t="shared" si="1"/>
        <v>23406.24</v>
      </c>
    </row>
    <row r="26" spans="1:10" ht="30" customHeight="1">
      <c r="A26" s="18"/>
      <c r="B26" s="155" t="s">
        <v>30</v>
      </c>
      <c r="C26" s="152"/>
      <c r="D26" s="153"/>
      <c r="E26" s="62" t="s">
        <v>29</v>
      </c>
      <c r="F26" s="28" t="s">
        <v>36</v>
      </c>
      <c r="G26" s="26">
        <f>3.46-G27-G28</f>
        <v>3.46</v>
      </c>
      <c r="H26" s="70">
        <f t="shared" si="0"/>
        <v>184058.16</v>
      </c>
      <c r="I26" s="71">
        <f>$I$12*0.22</f>
        <v>0</v>
      </c>
      <c r="J26" s="65">
        <f t="shared" si="1"/>
        <v>184058.16</v>
      </c>
    </row>
    <row r="27" spans="1:10" ht="26.25" customHeight="1">
      <c r="A27" s="61"/>
      <c r="B27" s="172" t="s">
        <v>63</v>
      </c>
      <c r="C27" s="172"/>
      <c r="D27" s="172"/>
      <c r="E27" s="62" t="s">
        <v>29</v>
      </c>
      <c r="F27" s="28" t="s">
        <v>36</v>
      </c>
      <c r="G27" s="26">
        <v>0</v>
      </c>
      <c r="H27" s="70">
        <f t="shared" si="0"/>
        <v>0</v>
      </c>
      <c r="I27" s="71"/>
      <c r="J27" s="65">
        <f t="shared" si="1"/>
        <v>0</v>
      </c>
    </row>
    <row r="28" spans="1:10" ht="17.25" customHeight="1">
      <c r="A28" s="18"/>
      <c r="B28" s="172" t="s">
        <v>64</v>
      </c>
      <c r="C28" s="172"/>
      <c r="D28" s="172"/>
      <c r="E28" s="66" t="s">
        <v>8</v>
      </c>
      <c r="F28" s="28" t="s">
        <v>36</v>
      </c>
      <c r="G28" s="26">
        <v>0</v>
      </c>
      <c r="H28" s="70">
        <f t="shared" si="0"/>
        <v>0</v>
      </c>
      <c r="I28" s="71"/>
      <c r="J28" s="65">
        <f t="shared" si="1"/>
        <v>0</v>
      </c>
    </row>
    <row r="29" spans="1:10" ht="24.75" customHeight="1">
      <c r="A29" s="18"/>
      <c r="B29" s="173" t="s">
        <v>19</v>
      </c>
      <c r="C29" s="173"/>
      <c r="D29" s="173"/>
      <c r="E29" s="66" t="s">
        <v>29</v>
      </c>
      <c r="F29" s="28" t="s">
        <v>36</v>
      </c>
      <c r="G29" s="44">
        <v>1.06</v>
      </c>
      <c r="H29" s="63">
        <f t="shared" si="0"/>
        <v>56387.76</v>
      </c>
      <c r="I29" s="64">
        <f>$I$12*0.1</f>
        <v>0</v>
      </c>
      <c r="J29" s="65">
        <f t="shared" si="1"/>
        <v>56387.76</v>
      </c>
    </row>
    <row r="30" spans="1:10" ht="15.75">
      <c r="A30" s="18"/>
      <c r="B30" s="176"/>
      <c r="C30" s="152"/>
      <c r="D30" s="153"/>
      <c r="E30" s="66"/>
      <c r="F30" s="28"/>
      <c r="G30" s="44"/>
      <c r="H30" s="70"/>
      <c r="I30" s="58"/>
      <c r="J30" s="72"/>
    </row>
    <row r="31" spans="1:10" ht="15.75">
      <c r="A31" s="18"/>
      <c r="B31" s="176"/>
      <c r="C31" s="152"/>
      <c r="D31" s="153"/>
      <c r="E31" s="66"/>
      <c r="F31" s="28"/>
      <c r="G31" s="44"/>
      <c r="H31" s="70"/>
      <c r="I31" s="58"/>
      <c r="J31" s="72"/>
    </row>
    <row r="32" spans="1:10" ht="15.75">
      <c r="A32" s="18"/>
      <c r="B32" s="154" t="s">
        <v>26</v>
      </c>
      <c r="C32" s="154"/>
      <c r="D32" s="154"/>
      <c r="E32" s="12"/>
      <c r="F32" s="28"/>
      <c r="G32" s="16">
        <f>SUM(G17:G29)</f>
        <v>9.520000000000001</v>
      </c>
      <c r="H32" s="30">
        <f>SUM(H17:H31)</f>
        <v>499543.44</v>
      </c>
      <c r="I32" s="73">
        <f>SUM(I17:I31)</f>
        <v>0</v>
      </c>
      <c r="J32" s="30">
        <f>SUM(J17:J31)</f>
        <v>499543.44</v>
      </c>
    </row>
    <row r="33" spans="1:10" ht="21.75" customHeight="1">
      <c r="A33" s="18"/>
      <c r="B33" s="157" t="s">
        <v>65</v>
      </c>
      <c r="C33" s="150"/>
      <c r="D33" s="151"/>
      <c r="E33" s="66" t="s">
        <v>8</v>
      </c>
      <c r="F33" s="28"/>
      <c r="G33" s="44"/>
      <c r="H33" s="70"/>
      <c r="I33" s="58"/>
      <c r="J33" s="72"/>
    </row>
    <row r="34" spans="1:10" ht="27.75" customHeight="1">
      <c r="A34" s="18"/>
      <c r="B34" s="157" t="s">
        <v>66</v>
      </c>
      <c r="C34" s="150"/>
      <c r="D34" s="151"/>
      <c r="E34" s="62" t="s">
        <v>29</v>
      </c>
      <c r="F34" s="28"/>
      <c r="G34" s="44"/>
      <c r="H34" s="70"/>
      <c r="I34" s="58"/>
      <c r="J34" s="72"/>
    </row>
    <row r="35" spans="1:10" ht="15.75">
      <c r="A35" s="18"/>
      <c r="B35" s="176"/>
      <c r="C35" s="152"/>
      <c r="D35" s="153"/>
      <c r="E35" s="66"/>
      <c r="F35" s="28"/>
      <c r="G35" s="44"/>
      <c r="H35" s="70"/>
      <c r="I35" s="58"/>
      <c r="J35" s="72"/>
    </row>
    <row r="36" spans="1:10" ht="15" customHeight="1">
      <c r="A36" s="18" t="s">
        <v>67</v>
      </c>
      <c r="B36" s="148" t="s">
        <v>68</v>
      </c>
      <c r="C36" s="149"/>
      <c r="D36" s="149"/>
      <c r="E36" s="177"/>
      <c r="F36" s="28" t="s">
        <v>36</v>
      </c>
      <c r="G36" s="19">
        <f>H36/E3/12</f>
        <v>2.2077280246635085</v>
      </c>
      <c r="H36" s="74">
        <v>117442.3</v>
      </c>
      <c r="I36" s="75"/>
      <c r="J36" s="60">
        <f>SUM(H36:I36)</f>
        <v>117442.3</v>
      </c>
    </row>
    <row r="37" spans="1:10" ht="14.25" customHeight="1">
      <c r="A37" s="20"/>
      <c r="B37" s="178" t="s">
        <v>34</v>
      </c>
      <c r="C37" s="178"/>
      <c r="D37" s="178"/>
      <c r="E37" s="178"/>
      <c r="F37" s="178"/>
      <c r="G37" s="16">
        <f>SUM(G32:G36)</f>
        <v>11.72772802466351</v>
      </c>
      <c r="H37" s="31">
        <f>SUM(H32:H36)</f>
        <v>616985.74</v>
      </c>
      <c r="I37" s="76">
        <f>SUM(I32:I36)</f>
        <v>0</v>
      </c>
      <c r="J37" s="76">
        <f>SUM(J32:J36)</f>
        <v>616985.74</v>
      </c>
    </row>
    <row r="38" spans="1:10" ht="15.75">
      <c r="A38" s="18" t="s">
        <v>69</v>
      </c>
      <c r="B38" s="179" t="s">
        <v>70</v>
      </c>
      <c r="C38" s="179"/>
      <c r="D38" s="179"/>
      <c r="E38" s="179"/>
      <c r="F38" s="179"/>
      <c r="G38" s="19"/>
      <c r="H38" s="77">
        <v>0</v>
      </c>
      <c r="I38" s="77">
        <v>0</v>
      </c>
      <c r="J38" s="78">
        <f>SUM(H38:I38)</f>
        <v>0</v>
      </c>
    </row>
    <row r="39" spans="1:10" ht="24.75" customHeight="1">
      <c r="A39" s="20"/>
      <c r="B39" s="178" t="s">
        <v>71</v>
      </c>
      <c r="C39" s="178"/>
      <c r="D39" s="178"/>
      <c r="E39" s="178"/>
      <c r="F39" s="178"/>
      <c r="G39" s="16">
        <f>SUM(G37:G38)</f>
        <v>11.72772802466351</v>
      </c>
      <c r="H39" s="31">
        <f>SUM(H37:H38)</f>
        <v>616985.74</v>
      </c>
      <c r="I39" s="76">
        <f>SUM(I37:I38)</f>
        <v>0</v>
      </c>
      <c r="J39" s="76">
        <f>SUM(J37:J38)</f>
        <v>616985.74</v>
      </c>
    </row>
    <row r="40" spans="1:10" ht="27" customHeight="1">
      <c r="A40" s="18">
        <v>3</v>
      </c>
      <c r="B40" s="180" t="s">
        <v>109</v>
      </c>
      <c r="C40" s="181"/>
      <c r="D40" s="181"/>
      <c r="E40" s="181"/>
      <c r="F40" s="181"/>
      <c r="G40" s="182"/>
      <c r="H40" s="63">
        <f>H14-H39</f>
        <v>-37033.369999999995</v>
      </c>
      <c r="I40" s="63">
        <f>I14-I39</f>
        <v>0</v>
      </c>
      <c r="J40" s="60">
        <f>J14-J39</f>
        <v>-37033.369999999995</v>
      </c>
    </row>
    <row r="41" spans="2:6" ht="15.75">
      <c r="B41" s="23"/>
      <c r="F41" s="23"/>
    </row>
    <row r="42" spans="2:9" ht="36" customHeight="1">
      <c r="B42" s="183" t="s">
        <v>97</v>
      </c>
      <c r="C42" s="183"/>
      <c r="D42" s="183"/>
      <c r="E42" s="183"/>
      <c r="F42" s="183"/>
      <c r="G42" s="183"/>
      <c r="H42" s="183"/>
      <c r="I42" s="183"/>
    </row>
    <row r="43" spans="2:4" ht="25.5" customHeight="1">
      <c r="B43" s="23"/>
      <c r="C43" s="23"/>
      <c r="D43" s="23"/>
    </row>
    <row r="44" spans="2:10" ht="15.75">
      <c r="B44" s="32" t="s">
        <v>110</v>
      </c>
      <c r="C44" s="32"/>
      <c r="D44" s="32"/>
      <c r="E44" s="32"/>
      <c r="F44" s="32"/>
      <c r="J44"/>
    </row>
    <row r="45" spans="2:4" ht="15.75" customHeight="1">
      <c r="B45" s="156" t="s">
        <v>39</v>
      </c>
      <c r="C45" s="156"/>
      <c r="D45" s="156"/>
    </row>
  </sheetData>
  <sheetProtection/>
  <mergeCells count="38">
    <mergeCell ref="B45:D45"/>
    <mergeCell ref="B33:D33"/>
    <mergeCell ref="B34:D34"/>
    <mergeCell ref="B35:D35"/>
    <mergeCell ref="B36:E36"/>
    <mergeCell ref="B37:F37"/>
    <mergeCell ref="B38:F38"/>
    <mergeCell ref="B39:F39"/>
    <mergeCell ref="B40:G40"/>
    <mergeCell ref="B42:I42"/>
    <mergeCell ref="B25:D25"/>
    <mergeCell ref="B26:D26"/>
    <mergeCell ref="B27:D27"/>
    <mergeCell ref="B28:D28"/>
    <mergeCell ref="B29:D29"/>
    <mergeCell ref="B30:D30"/>
    <mergeCell ref="B31:D31"/>
    <mergeCell ref="B32:D32"/>
    <mergeCell ref="B17:D17"/>
    <mergeCell ref="B18:D18"/>
    <mergeCell ref="B19:D19"/>
    <mergeCell ref="B20:D20"/>
    <mergeCell ref="B21:D21"/>
    <mergeCell ref="B22:D22"/>
    <mergeCell ref="B23:D23"/>
    <mergeCell ref="B24:D24"/>
    <mergeCell ref="B8:F8"/>
    <mergeCell ref="B9:F9"/>
    <mergeCell ref="B10:F10"/>
    <mergeCell ref="B11:F11"/>
    <mergeCell ref="B12:F12"/>
    <mergeCell ref="B13:F13"/>
    <mergeCell ref="B14:F14"/>
    <mergeCell ref="B15:F15"/>
    <mergeCell ref="A1:J1"/>
    <mergeCell ref="A2:J2"/>
    <mergeCell ref="B7:D7"/>
    <mergeCell ref="H7:J7"/>
  </mergeCells>
  <printOptions/>
  <pageMargins left="0" right="0" top="0" bottom="0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B1">
      <selection activeCell="B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7.625" style="0" customWidth="1"/>
    <col min="6" max="6" width="17.75390625" style="0" hidden="1" customWidth="1"/>
    <col min="7" max="7" width="5.875" style="0" hidden="1" customWidth="1"/>
    <col min="8" max="8" width="13.25390625" style="0" customWidth="1"/>
  </cols>
  <sheetData>
    <row r="1" spans="1:8" ht="120" customHeight="1">
      <c r="A1" s="158" t="s">
        <v>111</v>
      </c>
      <c r="B1" s="158"/>
      <c r="C1" s="158"/>
      <c r="D1" s="158"/>
      <c r="E1" s="158"/>
      <c r="F1" s="158"/>
      <c r="G1" s="158"/>
      <c r="H1" s="158"/>
    </row>
    <row r="2" spans="1:6" ht="18.75">
      <c r="A2" s="1" t="s">
        <v>37</v>
      </c>
      <c r="B2" s="1" t="s">
        <v>38</v>
      </c>
      <c r="C2" s="2"/>
      <c r="D2" s="2" t="s">
        <v>0</v>
      </c>
      <c r="E2" s="21">
        <v>4433</v>
      </c>
      <c r="F2" s="2"/>
    </row>
    <row r="3" spans="2:6" ht="15.75">
      <c r="B3" s="3" t="s">
        <v>1</v>
      </c>
      <c r="C3" s="25">
        <v>5</v>
      </c>
      <c r="D3" s="2" t="s">
        <v>2</v>
      </c>
      <c r="E3" s="22">
        <v>90</v>
      </c>
      <c r="F3" s="2"/>
    </row>
    <row r="4" spans="2:7" ht="15.75">
      <c r="B4" s="3" t="s">
        <v>3</v>
      </c>
      <c r="C4" s="4">
        <v>6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66.75" customHeight="1">
      <c r="A6" s="39" t="s">
        <v>31</v>
      </c>
      <c r="B6" s="185" t="s">
        <v>48</v>
      </c>
      <c r="C6" s="186"/>
      <c r="D6" s="187"/>
      <c r="E6" s="40" t="s">
        <v>6</v>
      </c>
      <c r="F6" s="40" t="s">
        <v>7</v>
      </c>
      <c r="G6" s="88" t="s">
        <v>98</v>
      </c>
      <c r="H6" s="89" t="s">
        <v>42</v>
      </c>
    </row>
    <row r="7" spans="1:8" ht="15.75" customHeight="1">
      <c r="A7" s="41">
        <v>1</v>
      </c>
      <c r="B7" s="188" t="s">
        <v>43</v>
      </c>
      <c r="C7" s="188"/>
      <c r="D7" s="188"/>
      <c r="E7" s="188"/>
      <c r="F7" s="188"/>
      <c r="G7" s="42"/>
      <c r="H7" s="90"/>
    </row>
    <row r="8" spans="1:8" ht="15.75" customHeight="1">
      <c r="A8" s="41"/>
      <c r="B8" s="167" t="s">
        <v>99</v>
      </c>
      <c r="C8" s="167"/>
      <c r="D8" s="167"/>
      <c r="E8" s="167"/>
      <c r="F8" s="167"/>
      <c r="G8" s="19">
        <f>G30</f>
        <v>10.88</v>
      </c>
      <c r="H8" s="90">
        <f>ROUND($E$2*G8*12,0)</f>
        <v>578772</v>
      </c>
    </row>
    <row r="9" spans="1:8" ht="15.75" customHeight="1">
      <c r="A9" s="41"/>
      <c r="B9" s="189" t="s">
        <v>44</v>
      </c>
      <c r="C9" s="189"/>
      <c r="D9" s="189"/>
      <c r="E9" s="189"/>
      <c r="F9" s="189"/>
      <c r="G9" s="18">
        <v>0.78</v>
      </c>
      <c r="H9" s="90">
        <f>ROUND($E$2*G9*12,0)</f>
        <v>41493</v>
      </c>
    </row>
    <row r="10" spans="1:8" ht="18.75" customHeight="1">
      <c r="A10" s="41">
        <v>2</v>
      </c>
      <c r="B10" s="168" t="s">
        <v>32</v>
      </c>
      <c r="C10" s="168"/>
      <c r="D10" s="168"/>
      <c r="E10" s="168"/>
      <c r="F10" s="168"/>
      <c r="G10" s="44"/>
      <c r="H10" s="90"/>
    </row>
    <row r="11" spans="1:8" ht="15.75" customHeight="1">
      <c r="A11" s="41"/>
      <c r="B11" s="15" t="s">
        <v>33</v>
      </c>
      <c r="C11" s="15"/>
      <c r="D11" s="15"/>
      <c r="E11" s="15"/>
      <c r="F11" s="5"/>
      <c r="G11" s="55"/>
      <c r="H11" s="90"/>
    </row>
    <row r="12" spans="1:8" ht="15.75" customHeight="1">
      <c r="A12" s="91"/>
      <c r="B12" s="190" t="s">
        <v>100</v>
      </c>
      <c r="C12" s="190"/>
      <c r="D12" s="190"/>
      <c r="E12" s="62" t="s">
        <v>28</v>
      </c>
      <c r="F12" s="45" t="s">
        <v>22</v>
      </c>
      <c r="G12" s="46">
        <v>1.09</v>
      </c>
      <c r="H12" s="43">
        <f aca="true" t="shared" si="0" ref="H12:H30">ROUND($E$2*G12*12,0)</f>
        <v>57984</v>
      </c>
    </row>
    <row r="13" spans="1:8" ht="15.75" customHeight="1">
      <c r="A13" s="91"/>
      <c r="B13" s="190" t="s">
        <v>16</v>
      </c>
      <c r="C13" s="190"/>
      <c r="D13" s="190"/>
      <c r="E13" s="62" t="s">
        <v>28</v>
      </c>
      <c r="F13" s="45" t="s">
        <v>17</v>
      </c>
      <c r="G13" s="46">
        <v>0.29</v>
      </c>
      <c r="H13" s="43">
        <f t="shared" si="0"/>
        <v>15427</v>
      </c>
    </row>
    <row r="14" spans="1:8" ht="15.75" customHeight="1">
      <c r="A14" s="91"/>
      <c r="B14" s="191" t="s">
        <v>21</v>
      </c>
      <c r="C14" s="191"/>
      <c r="D14" s="191"/>
      <c r="E14" s="66" t="s">
        <v>60</v>
      </c>
      <c r="F14" s="47" t="s">
        <v>18</v>
      </c>
      <c r="G14" s="46">
        <v>0.4</v>
      </c>
      <c r="H14" s="43">
        <f t="shared" si="0"/>
        <v>21278</v>
      </c>
    </row>
    <row r="15" spans="1:8" ht="18.75" customHeight="1">
      <c r="A15" s="91"/>
      <c r="B15" s="193" t="s">
        <v>27</v>
      </c>
      <c r="C15" s="193"/>
      <c r="D15" s="193"/>
      <c r="E15" s="68" t="s">
        <v>8</v>
      </c>
      <c r="F15" s="48" t="s">
        <v>9</v>
      </c>
      <c r="G15" s="46">
        <v>0.53</v>
      </c>
      <c r="H15" s="43">
        <f t="shared" si="0"/>
        <v>28194</v>
      </c>
    </row>
    <row r="16" spans="1:8" ht="51">
      <c r="A16" s="91"/>
      <c r="B16" s="191" t="s">
        <v>25</v>
      </c>
      <c r="C16" s="191"/>
      <c r="D16" s="191"/>
      <c r="E16" s="66" t="s">
        <v>61</v>
      </c>
      <c r="F16" s="47" t="s">
        <v>23</v>
      </c>
      <c r="G16" s="46">
        <v>0.12</v>
      </c>
      <c r="H16" s="43">
        <f t="shared" si="0"/>
        <v>6384</v>
      </c>
    </row>
    <row r="17" spans="1:8" ht="31.5" customHeight="1">
      <c r="A17" s="91"/>
      <c r="B17" s="191" t="s">
        <v>10</v>
      </c>
      <c r="C17" s="191"/>
      <c r="D17" s="191"/>
      <c r="E17" s="66" t="s">
        <v>8</v>
      </c>
      <c r="F17" s="47" t="s">
        <v>11</v>
      </c>
      <c r="G17" s="46">
        <v>0</v>
      </c>
      <c r="H17" s="43">
        <f t="shared" si="0"/>
        <v>0</v>
      </c>
    </row>
    <row r="18" spans="1:8" ht="15.75" customHeight="1">
      <c r="A18" s="91"/>
      <c r="B18" s="191" t="s">
        <v>24</v>
      </c>
      <c r="C18" s="192"/>
      <c r="D18" s="192"/>
      <c r="E18" s="69" t="s">
        <v>12</v>
      </c>
      <c r="F18" s="44" t="s">
        <v>101</v>
      </c>
      <c r="G18" s="46">
        <v>0.05</v>
      </c>
      <c r="H18" s="43">
        <f t="shared" si="0"/>
        <v>2660</v>
      </c>
    </row>
    <row r="19" spans="1:8" ht="31.5" customHeight="1">
      <c r="A19" s="91"/>
      <c r="B19" s="191" t="s">
        <v>62</v>
      </c>
      <c r="C19" s="191"/>
      <c r="D19" s="191"/>
      <c r="E19" s="62" t="s">
        <v>29</v>
      </c>
      <c r="F19" s="47" t="s">
        <v>36</v>
      </c>
      <c r="G19" s="46">
        <v>2.21</v>
      </c>
      <c r="H19" s="43">
        <f t="shared" si="0"/>
        <v>117563</v>
      </c>
    </row>
    <row r="20" spans="1:8" ht="33" customHeight="1">
      <c r="A20" s="91"/>
      <c r="B20" s="190" t="s">
        <v>14</v>
      </c>
      <c r="C20" s="190"/>
      <c r="D20" s="190"/>
      <c r="E20" s="62" t="s">
        <v>46</v>
      </c>
      <c r="F20" s="47" t="s">
        <v>36</v>
      </c>
      <c r="G20" s="46">
        <v>0.45</v>
      </c>
      <c r="H20" s="43">
        <f t="shared" si="0"/>
        <v>23938</v>
      </c>
    </row>
    <row r="21" spans="1:8" ht="25.5">
      <c r="A21" s="91"/>
      <c r="B21" s="191" t="s">
        <v>30</v>
      </c>
      <c r="C21" s="192"/>
      <c r="D21" s="192"/>
      <c r="E21" s="62" t="s">
        <v>29</v>
      </c>
      <c r="F21" s="47" t="s">
        <v>36</v>
      </c>
      <c r="G21" s="46">
        <f>3.56-G22-G23</f>
        <v>3.56</v>
      </c>
      <c r="H21" s="43">
        <f t="shared" si="0"/>
        <v>189378</v>
      </c>
    </row>
    <row r="22" spans="1:8" ht="31.5" customHeight="1">
      <c r="A22" s="91"/>
      <c r="B22" s="191" t="s">
        <v>102</v>
      </c>
      <c r="C22" s="191"/>
      <c r="D22" s="191"/>
      <c r="E22" s="66" t="s">
        <v>8</v>
      </c>
      <c r="F22" s="47" t="s">
        <v>36</v>
      </c>
      <c r="G22" s="46">
        <v>0</v>
      </c>
      <c r="H22" s="43">
        <f t="shared" si="0"/>
        <v>0</v>
      </c>
    </row>
    <row r="23" spans="1:8" ht="15.75" customHeight="1">
      <c r="A23" s="91"/>
      <c r="B23" s="191" t="s">
        <v>64</v>
      </c>
      <c r="C23" s="191"/>
      <c r="D23" s="191"/>
      <c r="E23" s="66" t="s">
        <v>8</v>
      </c>
      <c r="F23" s="47" t="s">
        <v>36</v>
      </c>
      <c r="G23" s="46">
        <v>0</v>
      </c>
      <c r="H23" s="43">
        <f t="shared" si="0"/>
        <v>0</v>
      </c>
    </row>
    <row r="24" spans="1:8" ht="36.75" customHeight="1">
      <c r="A24" s="91"/>
      <c r="B24" s="192" t="s">
        <v>19</v>
      </c>
      <c r="C24" s="192"/>
      <c r="D24" s="192"/>
      <c r="E24" s="62" t="s">
        <v>29</v>
      </c>
      <c r="F24" s="47" t="s">
        <v>36</v>
      </c>
      <c r="G24" s="46">
        <v>1.09</v>
      </c>
      <c r="H24" s="43">
        <f t="shared" si="0"/>
        <v>57984</v>
      </c>
    </row>
    <row r="25" spans="1:8" ht="15.75">
      <c r="A25" s="18"/>
      <c r="B25" s="157" t="s">
        <v>65</v>
      </c>
      <c r="C25" s="150"/>
      <c r="D25" s="151"/>
      <c r="E25" s="66" t="s">
        <v>8</v>
      </c>
      <c r="F25" s="47"/>
      <c r="G25" s="46"/>
      <c r="H25" s="43"/>
    </row>
    <row r="26" spans="1:8" ht="25.5">
      <c r="A26" s="18"/>
      <c r="B26" s="157" t="s">
        <v>66</v>
      </c>
      <c r="C26" s="150"/>
      <c r="D26" s="151"/>
      <c r="E26" s="62" t="s">
        <v>29</v>
      </c>
      <c r="F26" s="47"/>
      <c r="G26" s="46"/>
      <c r="H26" s="43"/>
    </row>
    <row r="27" spans="1:8" ht="31.5" customHeight="1">
      <c r="A27" s="91"/>
      <c r="B27" s="176"/>
      <c r="C27" s="152"/>
      <c r="D27" s="153"/>
      <c r="E27" s="62"/>
      <c r="F27" s="47"/>
      <c r="G27" s="46"/>
      <c r="H27" s="43"/>
    </row>
    <row r="28" spans="1:8" ht="15.75">
      <c r="A28" s="91"/>
      <c r="B28" s="197" t="s">
        <v>26</v>
      </c>
      <c r="C28" s="198"/>
      <c r="D28" s="199"/>
      <c r="E28" s="12"/>
      <c r="F28" s="47"/>
      <c r="G28" s="16">
        <f>SUM(G12:G27)</f>
        <v>9.790000000000001</v>
      </c>
      <c r="H28" s="43">
        <f t="shared" si="0"/>
        <v>520789</v>
      </c>
    </row>
    <row r="29" spans="1:8" ht="15.75">
      <c r="A29" s="41" t="s">
        <v>67</v>
      </c>
      <c r="B29" s="148" t="s">
        <v>112</v>
      </c>
      <c r="C29" s="149"/>
      <c r="D29" s="149"/>
      <c r="E29" s="177"/>
      <c r="F29" s="34" t="s">
        <v>47</v>
      </c>
      <c r="G29" s="19">
        <v>1.09</v>
      </c>
      <c r="H29" s="43">
        <v>52150</v>
      </c>
    </row>
    <row r="30" spans="1:8" ht="15.75">
      <c r="A30" s="41"/>
      <c r="B30" s="200" t="s">
        <v>103</v>
      </c>
      <c r="C30" s="200"/>
      <c r="D30" s="200"/>
      <c r="E30" s="200"/>
      <c r="F30" s="200"/>
      <c r="G30" s="16">
        <f>SUM(G28:G29)</f>
        <v>10.88</v>
      </c>
      <c r="H30" s="92">
        <f t="shared" si="0"/>
        <v>578772</v>
      </c>
    </row>
    <row r="31" spans="1:9" ht="15.75" customHeight="1" thickBot="1">
      <c r="A31" s="93">
        <v>3</v>
      </c>
      <c r="B31" s="194" t="s">
        <v>104</v>
      </c>
      <c r="C31" s="195"/>
      <c r="D31" s="196"/>
      <c r="E31" s="94"/>
      <c r="F31" s="95" t="s">
        <v>47</v>
      </c>
      <c r="G31" s="49">
        <v>0.78</v>
      </c>
      <c r="H31" s="96">
        <f>ROUND($E$2*G31*12,0)</f>
        <v>41493</v>
      </c>
      <c r="I31" s="87"/>
    </row>
    <row r="32" spans="2:5" ht="54.75" customHeight="1">
      <c r="B32" s="184" t="s">
        <v>113</v>
      </c>
      <c r="C32" s="184"/>
      <c r="D32" s="184"/>
      <c r="E32" s="184"/>
    </row>
    <row r="33" spans="2:5" ht="47.25" customHeight="1">
      <c r="B33" s="23" t="s">
        <v>105</v>
      </c>
      <c r="C33" s="23"/>
      <c r="D33" s="23"/>
      <c r="E33" s="23"/>
    </row>
  </sheetData>
  <sheetProtection/>
  <mergeCells count="27">
    <mergeCell ref="B23:D23"/>
    <mergeCell ref="B24:D24"/>
    <mergeCell ref="B25:D25"/>
    <mergeCell ref="B30:F30"/>
    <mergeCell ref="B31:D31"/>
    <mergeCell ref="B26:D26"/>
    <mergeCell ref="B27:D27"/>
    <mergeCell ref="B28:D28"/>
    <mergeCell ref="B29:E29"/>
    <mergeCell ref="B15:D15"/>
    <mergeCell ref="B16:D16"/>
    <mergeCell ref="B17:D17"/>
    <mergeCell ref="B18:D18"/>
    <mergeCell ref="B19:D19"/>
    <mergeCell ref="B20:D20"/>
    <mergeCell ref="B21:D21"/>
    <mergeCell ref="B22:D22"/>
    <mergeCell ref="B32:E32"/>
    <mergeCell ref="A1:H1"/>
    <mergeCell ref="B6:D6"/>
    <mergeCell ref="B7:F7"/>
    <mergeCell ref="B8:F8"/>
    <mergeCell ref="B9:F9"/>
    <mergeCell ref="B10:F10"/>
    <mergeCell ref="B12:D12"/>
    <mergeCell ref="B13:D13"/>
    <mergeCell ref="B14:D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7">
      <selection activeCell="G19" sqref="G19:G38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6.875" style="0" customWidth="1"/>
    <col min="6" max="6" width="17.75390625" style="0" hidden="1" customWidth="1"/>
    <col min="7" max="7" width="12.25390625" style="0" customWidth="1"/>
    <col min="8" max="8" width="12.625" style="0" customWidth="1"/>
  </cols>
  <sheetData>
    <row r="1" spans="4:8" ht="69" customHeight="1">
      <c r="D1" s="203" t="s">
        <v>130</v>
      </c>
      <c r="E1" s="203"/>
      <c r="F1" s="203"/>
      <c r="G1" s="203"/>
      <c r="H1" s="203"/>
    </row>
    <row r="4" spans="1:8" ht="19.5" customHeight="1">
      <c r="A4" s="204" t="s">
        <v>114</v>
      </c>
      <c r="B4" s="204"/>
      <c r="C4" s="204"/>
      <c r="D4" s="204"/>
      <c r="E4" s="204"/>
      <c r="F4" s="204"/>
      <c r="G4" s="204"/>
      <c r="H4" s="204"/>
    </row>
    <row r="5" spans="1:6" ht="19.5">
      <c r="A5" s="97"/>
      <c r="B5" s="97"/>
      <c r="C5" s="97"/>
      <c r="D5" s="97"/>
      <c r="E5" s="97"/>
      <c r="F5" s="97"/>
    </row>
    <row r="6" spans="1:6" ht="19.5">
      <c r="A6" s="97"/>
      <c r="B6" s="202" t="s">
        <v>121</v>
      </c>
      <c r="C6" s="202"/>
      <c r="D6" s="202"/>
      <c r="E6" s="202"/>
      <c r="F6" s="97"/>
    </row>
    <row r="7" spans="1:6" ht="19.5">
      <c r="A7" s="97"/>
      <c r="B7" s="98"/>
      <c r="C7" s="98"/>
      <c r="D7" s="98"/>
      <c r="E7" s="98"/>
      <c r="F7" s="97"/>
    </row>
    <row r="8" spans="1:6" ht="18.75">
      <c r="A8" s="1" t="s">
        <v>37</v>
      </c>
      <c r="B8" s="1" t="s">
        <v>38</v>
      </c>
      <c r="C8" s="2"/>
      <c r="D8" s="2" t="s">
        <v>0</v>
      </c>
      <c r="E8" s="21">
        <v>4375.4</v>
      </c>
      <c r="F8" s="2"/>
    </row>
    <row r="9" spans="2:6" ht="15.75">
      <c r="B9" s="3" t="s">
        <v>1</v>
      </c>
      <c r="C9" s="25">
        <v>5</v>
      </c>
      <c r="D9" s="2" t="s">
        <v>2</v>
      </c>
      <c r="E9" s="22">
        <v>90</v>
      </c>
      <c r="F9" s="2"/>
    </row>
    <row r="10" spans="2:7" ht="15.75">
      <c r="B10" s="3" t="s">
        <v>3</v>
      </c>
      <c r="C10" s="4">
        <v>6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110.25">
      <c r="A12" s="39" t="s">
        <v>31</v>
      </c>
      <c r="B12" s="185" t="s">
        <v>48</v>
      </c>
      <c r="C12" s="186"/>
      <c r="D12" s="187"/>
      <c r="E12" s="40" t="s">
        <v>6</v>
      </c>
      <c r="F12" s="40" t="s">
        <v>7</v>
      </c>
      <c r="G12" s="99" t="s">
        <v>122</v>
      </c>
      <c r="H12" s="100" t="s">
        <v>123</v>
      </c>
    </row>
    <row r="13" spans="1:8" ht="25.5">
      <c r="A13" s="101">
        <v>1</v>
      </c>
      <c r="B13" s="160">
        <v>2</v>
      </c>
      <c r="C13" s="161"/>
      <c r="D13" s="205"/>
      <c r="E13" s="103">
        <v>3</v>
      </c>
      <c r="F13" s="102"/>
      <c r="G13" s="104">
        <v>4</v>
      </c>
      <c r="H13" s="105" t="s">
        <v>124</v>
      </c>
    </row>
    <row r="14" spans="1:8" ht="15.75" customHeight="1" hidden="1">
      <c r="A14" s="41">
        <v>1</v>
      </c>
      <c r="B14" s="188" t="s">
        <v>43</v>
      </c>
      <c r="C14" s="188"/>
      <c r="D14" s="188"/>
      <c r="E14" s="188"/>
      <c r="F14" s="188"/>
      <c r="G14" s="42"/>
      <c r="H14" s="90"/>
    </row>
    <row r="15" spans="1:8" ht="15.75" customHeight="1" hidden="1">
      <c r="A15" s="41"/>
      <c r="B15" s="167" t="s">
        <v>99</v>
      </c>
      <c r="C15" s="167"/>
      <c r="D15" s="167"/>
      <c r="E15" s="167"/>
      <c r="F15" s="167"/>
      <c r="G15" s="19">
        <f>G37</f>
        <v>11.21</v>
      </c>
      <c r="H15" s="90">
        <f>ROUND($E$8*G15*12,0)</f>
        <v>588579</v>
      </c>
    </row>
    <row r="16" spans="1:8" ht="15.75" customHeight="1" hidden="1">
      <c r="A16" s="41"/>
      <c r="B16" s="189" t="s">
        <v>44</v>
      </c>
      <c r="C16" s="189"/>
      <c r="D16" s="189"/>
      <c r="E16" s="189"/>
      <c r="F16" s="189"/>
      <c r="G16" s="18">
        <v>0.78</v>
      </c>
      <c r="H16" s="90">
        <f>ROUND($E$8*G16*12,0)</f>
        <v>40954</v>
      </c>
    </row>
    <row r="17" spans="1:8" ht="18.75" customHeight="1">
      <c r="A17" s="41" t="s">
        <v>40</v>
      </c>
      <c r="B17" s="168" t="s">
        <v>32</v>
      </c>
      <c r="C17" s="168"/>
      <c r="D17" s="168"/>
      <c r="E17" s="168"/>
      <c r="F17" s="168"/>
      <c r="G17" s="44"/>
      <c r="H17" s="90"/>
    </row>
    <row r="18" spans="1:8" ht="15.75" customHeight="1">
      <c r="A18" s="41" t="s">
        <v>127</v>
      </c>
      <c r="B18" s="15" t="s">
        <v>33</v>
      </c>
      <c r="C18" s="15"/>
      <c r="D18" s="15"/>
      <c r="E18" s="15"/>
      <c r="F18" s="5"/>
      <c r="G18" s="55"/>
      <c r="H18" s="90"/>
    </row>
    <row r="19" spans="1:8" ht="15.75" customHeight="1">
      <c r="A19" s="91"/>
      <c r="B19" s="190" t="s">
        <v>100</v>
      </c>
      <c r="C19" s="190"/>
      <c r="D19" s="190"/>
      <c r="E19" s="62" t="s">
        <v>28</v>
      </c>
      <c r="F19" s="45" t="s">
        <v>22</v>
      </c>
      <c r="G19" s="46">
        <v>1.12</v>
      </c>
      <c r="H19" s="43">
        <f>ROUND($E$8*G19*4,0)</f>
        <v>19602</v>
      </c>
    </row>
    <row r="20" spans="1:8" ht="15.75" customHeight="1">
      <c r="A20" s="91"/>
      <c r="B20" s="190" t="s">
        <v>16</v>
      </c>
      <c r="C20" s="190"/>
      <c r="D20" s="190"/>
      <c r="E20" s="62" t="s">
        <v>28</v>
      </c>
      <c r="F20" s="45" t="s">
        <v>17</v>
      </c>
      <c r="G20" s="46">
        <v>0.3</v>
      </c>
      <c r="H20" s="43">
        <f aca="true" t="shared" si="0" ref="H20:H38">ROUND($E$8*G20*4,0)</f>
        <v>5250</v>
      </c>
    </row>
    <row r="21" spans="1:8" ht="15.75" customHeight="1">
      <c r="A21" s="91"/>
      <c r="B21" s="191" t="s">
        <v>21</v>
      </c>
      <c r="C21" s="191"/>
      <c r="D21" s="191"/>
      <c r="E21" s="66" t="s">
        <v>60</v>
      </c>
      <c r="F21" s="47" t="s">
        <v>18</v>
      </c>
      <c r="G21" s="46">
        <v>0.41</v>
      </c>
      <c r="H21" s="43">
        <f t="shared" si="0"/>
        <v>7176</v>
      </c>
    </row>
    <row r="22" spans="1:8" ht="18.75" customHeight="1">
      <c r="A22" s="91"/>
      <c r="B22" s="193" t="s">
        <v>27</v>
      </c>
      <c r="C22" s="193"/>
      <c r="D22" s="193"/>
      <c r="E22" s="68" t="s">
        <v>8</v>
      </c>
      <c r="F22" s="48" t="s">
        <v>9</v>
      </c>
      <c r="G22" s="46">
        <v>0.54</v>
      </c>
      <c r="H22" s="43">
        <f t="shared" si="0"/>
        <v>9451</v>
      </c>
    </row>
    <row r="23" spans="1:8" ht="51">
      <c r="A23" s="91"/>
      <c r="B23" s="191" t="s">
        <v>25</v>
      </c>
      <c r="C23" s="191"/>
      <c r="D23" s="191"/>
      <c r="E23" s="66" t="s">
        <v>61</v>
      </c>
      <c r="F23" s="47" t="s">
        <v>23</v>
      </c>
      <c r="G23" s="46">
        <v>0.13</v>
      </c>
      <c r="H23" s="43">
        <f t="shared" si="0"/>
        <v>2275</v>
      </c>
    </row>
    <row r="24" spans="1:8" ht="31.5" customHeight="1">
      <c r="A24" s="91"/>
      <c r="B24" s="191" t="s">
        <v>10</v>
      </c>
      <c r="C24" s="191"/>
      <c r="D24" s="191"/>
      <c r="E24" s="66" t="s">
        <v>8</v>
      </c>
      <c r="F24" s="47" t="s">
        <v>11</v>
      </c>
      <c r="G24" s="111">
        <v>0</v>
      </c>
      <c r="H24" s="43">
        <f t="shared" si="0"/>
        <v>0</v>
      </c>
    </row>
    <row r="25" spans="1:8" ht="15.75" customHeight="1">
      <c r="A25" s="91"/>
      <c r="B25" s="191" t="s">
        <v>24</v>
      </c>
      <c r="C25" s="192"/>
      <c r="D25" s="192"/>
      <c r="E25" s="69" t="s">
        <v>12</v>
      </c>
      <c r="F25" s="44" t="s">
        <v>101</v>
      </c>
      <c r="G25" s="46">
        <v>0.05</v>
      </c>
      <c r="H25" s="43">
        <f t="shared" si="0"/>
        <v>875</v>
      </c>
    </row>
    <row r="26" spans="1:8" ht="51">
      <c r="A26" s="91"/>
      <c r="B26" s="191" t="s">
        <v>62</v>
      </c>
      <c r="C26" s="191"/>
      <c r="D26" s="191"/>
      <c r="E26" s="62" t="s">
        <v>125</v>
      </c>
      <c r="F26" s="47" t="s">
        <v>36</v>
      </c>
      <c r="G26" s="46">
        <v>1.63</v>
      </c>
      <c r="H26" s="43">
        <f t="shared" si="0"/>
        <v>28528</v>
      </c>
    </row>
    <row r="27" spans="1:8" ht="51">
      <c r="A27" s="91"/>
      <c r="B27" s="190" t="s">
        <v>14</v>
      </c>
      <c r="C27" s="190"/>
      <c r="D27" s="190"/>
      <c r="E27" s="62" t="s">
        <v>46</v>
      </c>
      <c r="F27" s="47" t="s">
        <v>36</v>
      </c>
      <c r="G27" s="46">
        <v>0.47</v>
      </c>
      <c r="H27" s="43">
        <f t="shared" si="0"/>
        <v>8226</v>
      </c>
    </row>
    <row r="28" spans="1:8" ht="33.75" customHeight="1">
      <c r="A28" s="91"/>
      <c r="B28" s="191" t="s">
        <v>30</v>
      </c>
      <c r="C28" s="192"/>
      <c r="D28" s="192"/>
      <c r="E28" s="62" t="s">
        <v>29</v>
      </c>
      <c r="F28" s="47" t="s">
        <v>36</v>
      </c>
      <c r="G28" s="46">
        <f>4.32-G29-G30</f>
        <v>4.32</v>
      </c>
      <c r="H28" s="43">
        <f t="shared" si="0"/>
        <v>75607</v>
      </c>
    </row>
    <row r="29" spans="1:8" ht="15.75">
      <c r="A29" s="91"/>
      <c r="B29" s="191" t="s">
        <v>102</v>
      </c>
      <c r="C29" s="191"/>
      <c r="D29" s="191"/>
      <c r="E29" s="66" t="s">
        <v>8</v>
      </c>
      <c r="F29" s="47" t="s">
        <v>36</v>
      </c>
      <c r="G29" s="111">
        <v>0</v>
      </c>
      <c r="H29" s="43">
        <f t="shared" si="0"/>
        <v>0</v>
      </c>
    </row>
    <row r="30" spans="1:8" ht="15.75" customHeight="1">
      <c r="A30" s="91"/>
      <c r="B30" s="191" t="s">
        <v>64</v>
      </c>
      <c r="C30" s="191"/>
      <c r="D30" s="191"/>
      <c r="E30" s="66" t="s">
        <v>8</v>
      </c>
      <c r="F30" s="47" t="s">
        <v>36</v>
      </c>
      <c r="G30" s="111">
        <v>0</v>
      </c>
      <c r="H30" s="43">
        <f t="shared" si="0"/>
        <v>0</v>
      </c>
    </row>
    <row r="31" spans="1:8" ht="25.5">
      <c r="A31" s="91"/>
      <c r="B31" s="192" t="s">
        <v>19</v>
      </c>
      <c r="C31" s="192"/>
      <c r="D31" s="192"/>
      <c r="E31" s="62" t="s">
        <v>29</v>
      </c>
      <c r="F31" s="47" t="s">
        <v>36</v>
      </c>
      <c r="G31" s="46">
        <v>1.12</v>
      </c>
      <c r="H31" s="43">
        <f t="shared" si="0"/>
        <v>19602</v>
      </c>
    </row>
    <row r="32" spans="1:8" ht="15.75" hidden="1">
      <c r="A32" s="18"/>
      <c r="B32" s="157" t="s">
        <v>65</v>
      </c>
      <c r="C32" s="150"/>
      <c r="D32" s="151"/>
      <c r="E32" s="66" t="s">
        <v>8</v>
      </c>
      <c r="F32" s="47"/>
      <c r="G32" s="46"/>
      <c r="H32" s="43">
        <f t="shared" si="0"/>
        <v>0</v>
      </c>
    </row>
    <row r="33" spans="1:8" ht="25.5" hidden="1">
      <c r="A33" s="18"/>
      <c r="B33" s="157" t="s">
        <v>66</v>
      </c>
      <c r="C33" s="150"/>
      <c r="D33" s="151"/>
      <c r="E33" s="62" t="s">
        <v>29</v>
      </c>
      <c r="F33" s="47"/>
      <c r="G33" s="46"/>
      <c r="H33" s="43">
        <f t="shared" si="0"/>
        <v>0</v>
      </c>
    </row>
    <row r="34" spans="1:8" ht="31.5" customHeight="1" hidden="1">
      <c r="A34" s="91"/>
      <c r="B34" s="176"/>
      <c r="C34" s="152"/>
      <c r="D34" s="153"/>
      <c r="E34" s="62"/>
      <c r="F34" s="47"/>
      <c r="G34" s="46"/>
      <c r="H34" s="43">
        <f t="shared" si="0"/>
        <v>0</v>
      </c>
    </row>
    <row r="35" spans="1:8" ht="15.75">
      <c r="A35" s="91"/>
      <c r="B35" s="197" t="s">
        <v>26</v>
      </c>
      <c r="C35" s="198"/>
      <c r="D35" s="199"/>
      <c r="E35" s="12"/>
      <c r="F35" s="47"/>
      <c r="G35" s="16">
        <f>SUM(G19:G34)</f>
        <v>10.09</v>
      </c>
      <c r="H35" s="43">
        <f t="shared" si="0"/>
        <v>176591</v>
      </c>
    </row>
    <row r="36" spans="1:8" ht="15.75" customHeight="1">
      <c r="A36" s="41" t="s">
        <v>128</v>
      </c>
      <c r="B36" s="148" t="s">
        <v>112</v>
      </c>
      <c r="C36" s="149"/>
      <c r="D36" s="177"/>
      <c r="E36" s="106" t="s">
        <v>115</v>
      </c>
      <c r="F36" s="34" t="s">
        <v>47</v>
      </c>
      <c r="G36" s="19">
        <v>1.12</v>
      </c>
      <c r="H36" s="43">
        <f t="shared" si="0"/>
        <v>19602</v>
      </c>
    </row>
    <row r="37" spans="1:8" ht="15.75">
      <c r="A37" s="41" t="s">
        <v>129</v>
      </c>
      <c r="B37" s="200" t="s">
        <v>103</v>
      </c>
      <c r="C37" s="200"/>
      <c r="D37" s="200"/>
      <c r="E37" s="200"/>
      <c r="F37" s="200"/>
      <c r="G37" s="16">
        <f>SUM(G35:G36)</f>
        <v>11.21</v>
      </c>
      <c r="H37" s="43">
        <f t="shared" si="0"/>
        <v>196193</v>
      </c>
    </row>
    <row r="38" spans="1:9" ht="16.5" thickBot="1">
      <c r="A38" s="93" t="s">
        <v>41</v>
      </c>
      <c r="B38" s="194" t="s">
        <v>120</v>
      </c>
      <c r="C38" s="195"/>
      <c r="D38" s="196"/>
      <c r="E38" s="108" t="s">
        <v>115</v>
      </c>
      <c r="F38" s="95" t="s">
        <v>47</v>
      </c>
      <c r="G38" s="109">
        <v>0.8</v>
      </c>
      <c r="H38" s="110">
        <f t="shared" si="0"/>
        <v>14001</v>
      </c>
      <c r="I38" s="87"/>
    </row>
    <row r="39" spans="2:5" ht="15.75" customHeight="1">
      <c r="B39" s="201" t="s">
        <v>126</v>
      </c>
      <c r="C39" s="201"/>
      <c r="D39" s="201"/>
      <c r="E39" s="201"/>
    </row>
    <row r="41" spans="2:8" ht="15.75">
      <c r="B41" s="32" t="s">
        <v>118</v>
      </c>
      <c r="C41" s="32"/>
      <c r="D41" s="32"/>
      <c r="E41" s="23" t="s">
        <v>116</v>
      </c>
      <c r="F41" s="23"/>
      <c r="G41" s="23"/>
      <c r="H41" s="23"/>
    </row>
    <row r="43" spans="2:5" ht="15.75">
      <c r="B43" s="32" t="s">
        <v>119</v>
      </c>
      <c r="C43" s="32"/>
      <c r="D43" s="32"/>
      <c r="E43" t="s">
        <v>117</v>
      </c>
    </row>
  </sheetData>
  <sheetProtection/>
  <mergeCells count="30">
    <mergeCell ref="B25:D25"/>
    <mergeCell ref="B26:D26"/>
    <mergeCell ref="B14:F14"/>
    <mergeCell ref="B15:F15"/>
    <mergeCell ref="B16:F16"/>
    <mergeCell ref="B17:F17"/>
    <mergeCell ref="B19:D19"/>
    <mergeCell ref="B20:D20"/>
    <mergeCell ref="B21:D21"/>
    <mergeCell ref="B22:D22"/>
    <mergeCell ref="B23:D23"/>
    <mergeCell ref="B24:D24"/>
    <mergeCell ref="D1:H1"/>
    <mergeCell ref="A4:H4"/>
    <mergeCell ref="B13:D13"/>
    <mergeCell ref="B12:D12"/>
    <mergeCell ref="B33:D33"/>
    <mergeCell ref="B34:D34"/>
    <mergeCell ref="B35:D35"/>
    <mergeCell ref="B6:E6"/>
    <mergeCell ref="B27:D27"/>
    <mergeCell ref="B28:D28"/>
    <mergeCell ref="B29:D29"/>
    <mergeCell ref="B30:D30"/>
    <mergeCell ref="B31:D31"/>
    <mergeCell ref="B32:D32"/>
    <mergeCell ref="B37:F37"/>
    <mergeCell ref="B38:D38"/>
    <mergeCell ref="B39:E39"/>
    <mergeCell ref="B36:D36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4">
      <selection activeCell="G15" sqref="G15:G27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bestFit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58" t="s">
        <v>143</v>
      </c>
      <c r="B1" s="158"/>
      <c r="C1" s="158"/>
      <c r="D1" s="158"/>
      <c r="E1" s="158"/>
      <c r="F1" s="158"/>
      <c r="G1" s="158"/>
      <c r="H1" s="158"/>
      <c r="I1" s="158"/>
    </row>
    <row r="2" spans="1:9" ht="20.25">
      <c r="A2" s="107"/>
      <c r="B2" s="107"/>
      <c r="C2" s="107"/>
      <c r="D2" s="107"/>
      <c r="E2" s="107"/>
      <c r="F2" s="107"/>
      <c r="G2" s="107"/>
      <c r="H2" s="107"/>
      <c r="I2" s="107"/>
    </row>
    <row r="3" spans="1:9" ht="20.25">
      <c r="A3" s="107"/>
      <c r="B3" s="107"/>
      <c r="C3" s="107"/>
      <c r="D3" s="107"/>
      <c r="E3" s="107"/>
      <c r="F3" s="107"/>
      <c r="G3" s="107"/>
      <c r="H3" s="107"/>
      <c r="I3" s="107"/>
    </row>
    <row r="4" spans="1:6" ht="47.25">
      <c r="A4" s="1" t="s">
        <v>37</v>
      </c>
      <c r="B4" s="1" t="s">
        <v>38</v>
      </c>
      <c r="C4" s="2"/>
      <c r="D4" s="113" t="s">
        <v>131</v>
      </c>
      <c r="E4" s="21">
        <v>4375.4</v>
      </c>
      <c r="F4" s="2"/>
    </row>
    <row r="5" spans="2:6" ht="15.75">
      <c r="B5" s="3" t="s">
        <v>1</v>
      </c>
      <c r="C5" s="25">
        <v>5</v>
      </c>
      <c r="D5" s="2" t="s">
        <v>2</v>
      </c>
      <c r="E5" s="22">
        <v>90</v>
      </c>
      <c r="F5" s="2"/>
    </row>
    <row r="6" spans="2:8" ht="15.75">
      <c r="B6" s="3" t="s">
        <v>3</v>
      </c>
      <c r="C6" s="4">
        <v>6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89.25">
      <c r="A8" s="39" t="s">
        <v>31</v>
      </c>
      <c r="B8" s="185" t="s">
        <v>48</v>
      </c>
      <c r="C8" s="186"/>
      <c r="D8" s="187"/>
      <c r="E8" s="40" t="s">
        <v>6</v>
      </c>
      <c r="F8" s="40" t="s">
        <v>7</v>
      </c>
      <c r="G8" s="88" t="s">
        <v>132</v>
      </c>
      <c r="H8" s="88" t="s">
        <v>133</v>
      </c>
      <c r="I8" s="89" t="s">
        <v>134</v>
      </c>
    </row>
    <row r="9" spans="1:9" ht="38.25">
      <c r="A9" s="101">
        <v>1</v>
      </c>
      <c r="B9" s="160">
        <v>2</v>
      </c>
      <c r="C9" s="161"/>
      <c r="D9" s="205"/>
      <c r="E9" s="103">
        <v>3</v>
      </c>
      <c r="F9" s="103">
        <v>3</v>
      </c>
      <c r="G9" s="103">
        <v>4</v>
      </c>
      <c r="H9" s="103">
        <v>5</v>
      </c>
      <c r="I9" s="105" t="s">
        <v>135</v>
      </c>
    </row>
    <row r="10" spans="1:9" ht="15.75" customHeight="1">
      <c r="A10" s="41">
        <v>1</v>
      </c>
      <c r="B10" s="188" t="s">
        <v>43</v>
      </c>
      <c r="C10" s="188"/>
      <c r="D10" s="188"/>
      <c r="E10" s="188"/>
      <c r="F10" s="188"/>
      <c r="G10" s="42"/>
      <c r="H10" s="114"/>
      <c r="I10" s="90"/>
    </row>
    <row r="11" spans="1:9" ht="15.75" customHeight="1">
      <c r="A11" s="41"/>
      <c r="B11" s="167" t="s">
        <v>99</v>
      </c>
      <c r="C11" s="167"/>
      <c r="D11" s="167"/>
      <c r="E11" s="167"/>
      <c r="F11" s="167"/>
      <c r="G11" s="19">
        <f>G32</f>
        <v>10.91</v>
      </c>
      <c r="H11" s="19">
        <f>H32</f>
        <v>11.619999999999997</v>
      </c>
      <c r="I11" s="43">
        <f>ROUND($E$4*G11*6,0)+ROUND($E$4*H11*6,0)</f>
        <v>591467</v>
      </c>
    </row>
    <row r="12" spans="1:9" ht="15.75" customHeight="1">
      <c r="A12" s="41"/>
      <c r="B12" s="189" t="s">
        <v>44</v>
      </c>
      <c r="C12" s="189"/>
      <c r="D12" s="189"/>
      <c r="E12" s="189"/>
      <c r="F12" s="189"/>
      <c r="G12" s="19">
        <f>G33</f>
        <v>0.8</v>
      </c>
      <c r="H12" s="19">
        <f>H33</f>
        <v>0.85</v>
      </c>
      <c r="I12" s="43">
        <f>ROUND($E$4*G12*6,0)+ROUND($E$4*H12*6,0)</f>
        <v>43317</v>
      </c>
    </row>
    <row r="13" spans="1:9" ht="15.75" customHeight="1">
      <c r="A13" s="41">
        <v>2</v>
      </c>
      <c r="B13" s="213" t="s">
        <v>32</v>
      </c>
      <c r="C13" s="214"/>
      <c r="D13" s="214"/>
      <c r="E13" s="214"/>
      <c r="F13" s="215"/>
      <c r="G13" s="9"/>
      <c r="H13" s="115"/>
      <c r="I13" s="43"/>
    </row>
    <row r="14" spans="1:9" ht="18.75" customHeight="1">
      <c r="A14" s="41" t="s">
        <v>127</v>
      </c>
      <c r="B14" s="15" t="s">
        <v>33</v>
      </c>
      <c r="C14" s="15"/>
      <c r="D14" s="15"/>
      <c r="E14" s="15"/>
      <c r="F14" s="5"/>
      <c r="G14" s="55"/>
      <c r="H14" s="116"/>
      <c r="I14" s="43"/>
    </row>
    <row r="15" spans="1:9" ht="29.25" customHeight="1">
      <c r="A15" s="91"/>
      <c r="B15" s="216" t="s">
        <v>136</v>
      </c>
      <c r="C15" s="212"/>
      <c r="D15" s="212"/>
      <c r="E15" s="62" t="s">
        <v>28</v>
      </c>
      <c r="F15" s="6" t="s">
        <v>22</v>
      </c>
      <c r="G15" s="46">
        <v>1.12</v>
      </c>
      <c r="H15" s="117">
        <v>1.19</v>
      </c>
      <c r="I15" s="43">
        <f>ROUND($E$4*G15*6,0)+ROUND($E$4*H15*6,0)</f>
        <v>60643</v>
      </c>
    </row>
    <row r="16" spans="1:10" ht="15.75" customHeight="1">
      <c r="A16" s="91"/>
      <c r="B16" s="212" t="s">
        <v>16</v>
      </c>
      <c r="C16" s="212"/>
      <c r="D16" s="212"/>
      <c r="E16" s="62" t="s">
        <v>28</v>
      </c>
      <c r="F16" s="6" t="s">
        <v>17</v>
      </c>
      <c r="G16" s="46">
        <v>0.3</v>
      </c>
      <c r="H16" s="117">
        <v>0.32</v>
      </c>
      <c r="I16" s="43">
        <f aca="true" t="shared" si="0" ref="I16:I33">ROUND($E$4*G16*6,0)+ROUND($E$4*H16*6,0)</f>
        <v>16277</v>
      </c>
      <c r="J16" s="86"/>
    </row>
    <row r="17" spans="1:9" ht="18.75" customHeight="1">
      <c r="A17" s="91"/>
      <c r="B17" s="207" t="s">
        <v>137</v>
      </c>
      <c r="C17" s="207"/>
      <c r="D17" s="207"/>
      <c r="E17" s="66" t="s">
        <v>60</v>
      </c>
      <c r="F17" s="7" t="s">
        <v>18</v>
      </c>
      <c r="G17" s="46">
        <v>0.11</v>
      </c>
      <c r="H17" s="117">
        <v>0.12</v>
      </c>
      <c r="I17" s="43">
        <f t="shared" si="0"/>
        <v>6038</v>
      </c>
    </row>
    <row r="18" spans="1:9" ht="15.75" customHeight="1">
      <c r="A18" s="91"/>
      <c r="B18" s="217" t="s">
        <v>27</v>
      </c>
      <c r="C18" s="217"/>
      <c r="D18" s="217"/>
      <c r="E18" s="68" t="s">
        <v>8</v>
      </c>
      <c r="F18" s="8" t="s">
        <v>9</v>
      </c>
      <c r="G18" s="46">
        <v>0.54</v>
      </c>
      <c r="H18" s="117">
        <v>0.58</v>
      </c>
      <c r="I18" s="43">
        <f t="shared" si="0"/>
        <v>29402</v>
      </c>
    </row>
    <row r="19" spans="1:9" ht="51" customHeight="1">
      <c r="A19" s="91"/>
      <c r="B19" s="207" t="s">
        <v>25</v>
      </c>
      <c r="C19" s="207"/>
      <c r="D19" s="207"/>
      <c r="E19" s="66" t="s">
        <v>61</v>
      </c>
      <c r="F19" s="7" t="s">
        <v>23</v>
      </c>
      <c r="G19" s="46">
        <v>0.13</v>
      </c>
      <c r="H19" s="117">
        <v>0.14</v>
      </c>
      <c r="I19" s="43">
        <f t="shared" si="0"/>
        <v>7088</v>
      </c>
    </row>
    <row r="20" spans="1:9" ht="37.5" customHeight="1">
      <c r="A20" s="91"/>
      <c r="B20" s="207" t="s">
        <v>10</v>
      </c>
      <c r="C20" s="207"/>
      <c r="D20" s="207"/>
      <c r="E20" s="66" t="s">
        <v>8</v>
      </c>
      <c r="F20" s="7" t="s">
        <v>11</v>
      </c>
      <c r="G20" s="111">
        <v>0</v>
      </c>
      <c r="H20" s="117">
        <v>0</v>
      </c>
      <c r="I20" s="43">
        <f t="shared" si="0"/>
        <v>0</v>
      </c>
    </row>
    <row r="21" spans="1:9" ht="21" customHeight="1">
      <c r="A21" s="91"/>
      <c r="B21" s="207" t="s">
        <v>24</v>
      </c>
      <c r="C21" s="208"/>
      <c r="D21" s="208"/>
      <c r="E21" s="69" t="s">
        <v>12</v>
      </c>
      <c r="F21" s="9" t="s">
        <v>101</v>
      </c>
      <c r="G21" s="46">
        <v>0.05</v>
      </c>
      <c r="H21" s="117">
        <v>0.05</v>
      </c>
      <c r="I21" s="43">
        <f t="shared" si="0"/>
        <v>2626</v>
      </c>
    </row>
    <row r="22" spans="1:9" ht="51">
      <c r="A22" s="91"/>
      <c r="B22" s="207" t="s">
        <v>62</v>
      </c>
      <c r="C22" s="207"/>
      <c r="D22" s="207"/>
      <c r="E22" s="62" t="s">
        <v>125</v>
      </c>
      <c r="F22" s="7" t="s">
        <v>36</v>
      </c>
      <c r="G22" s="46">
        <v>1.63</v>
      </c>
      <c r="H22" s="117">
        <v>1.74</v>
      </c>
      <c r="I22" s="43">
        <f t="shared" si="0"/>
        <v>88470</v>
      </c>
    </row>
    <row r="23" spans="1:9" ht="55.5" customHeight="1">
      <c r="A23" s="91"/>
      <c r="B23" s="212" t="s">
        <v>14</v>
      </c>
      <c r="C23" s="212"/>
      <c r="D23" s="212"/>
      <c r="E23" s="62" t="s">
        <v>46</v>
      </c>
      <c r="F23" s="7" t="s">
        <v>36</v>
      </c>
      <c r="G23" s="46">
        <v>0.47</v>
      </c>
      <c r="H23" s="117">
        <v>0.5</v>
      </c>
      <c r="I23" s="43">
        <f t="shared" si="0"/>
        <v>25465</v>
      </c>
    </row>
    <row r="24" spans="1:9" ht="28.5" customHeight="1">
      <c r="A24" s="91"/>
      <c r="B24" s="207" t="s">
        <v>138</v>
      </c>
      <c r="C24" s="208"/>
      <c r="D24" s="208"/>
      <c r="E24" s="62" t="s">
        <v>29</v>
      </c>
      <c r="F24" s="7" t="s">
        <v>36</v>
      </c>
      <c r="G24" s="46">
        <f>4.32-G25-G26</f>
        <v>4.32</v>
      </c>
      <c r="H24" s="11">
        <f>4.6-H25-H26</f>
        <v>4.6</v>
      </c>
      <c r="I24" s="43">
        <f t="shared" si="0"/>
        <v>234171</v>
      </c>
    </row>
    <row r="25" spans="1:9" ht="15.75" customHeight="1">
      <c r="A25" s="91"/>
      <c r="B25" s="207" t="s">
        <v>102</v>
      </c>
      <c r="C25" s="207"/>
      <c r="D25" s="207"/>
      <c r="E25" s="66" t="s">
        <v>8</v>
      </c>
      <c r="F25" s="7" t="s">
        <v>36</v>
      </c>
      <c r="G25" s="111">
        <v>0</v>
      </c>
      <c r="H25" s="117">
        <v>0</v>
      </c>
      <c r="I25" s="43">
        <f t="shared" si="0"/>
        <v>0</v>
      </c>
    </row>
    <row r="26" spans="1:9" ht="21.75" customHeight="1">
      <c r="A26" s="91"/>
      <c r="B26" s="207" t="s">
        <v>64</v>
      </c>
      <c r="C26" s="207"/>
      <c r="D26" s="207"/>
      <c r="E26" s="66" t="s">
        <v>8</v>
      </c>
      <c r="F26" s="7" t="s">
        <v>36</v>
      </c>
      <c r="G26" s="111">
        <v>0</v>
      </c>
      <c r="H26" s="117">
        <v>0</v>
      </c>
      <c r="I26" s="43">
        <f t="shared" si="0"/>
        <v>0</v>
      </c>
    </row>
    <row r="27" spans="1:9" ht="25.5">
      <c r="A27" s="91"/>
      <c r="B27" s="208" t="s">
        <v>139</v>
      </c>
      <c r="C27" s="208"/>
      <c r="D27" s="208"/>
      <c r="E27" s="62" t="s">
        <v>29</v>
      </c>
      <c r="F27" s="7" t="s">
        <v>36</v>
      </c>
      <c r="G27" s="46">
        <v>1.12</v>
      </c>
      <c r="H27" s="117">
        <v>1.19</v>
      </c>
      <c r="I27" s="43">
        <f t="shared" si="0"/>
        <v>60643</v>
      </c>
    </row>
    <row r="28" spans="1:9" ht="15.75" customHeight="1" hidden="1">
      <c r="A28" s="18"/>
      <c r="B28" s="209" t="s">
        <v>65</v>
      </c>
      <c r="C28" s="210"/>
      <c r="D28" s="211"/>
      <c r="E28" s="66" t="s">
        <v>8</v>
      </c>
      <c r="F28" s="7"/>
      <c r="G28" s="46"/>
      <c r="H28" s="117"/>
      <c r="I28" s="43">
        <f t="shared" si="0"/>
        <v>0</v>
      </c>
    </row>
    <row r="29" spans="1:9" ht="25.5" hidden="1">
      <c r="A29" s="18"/>
      <c r="B29" s="209" t="s">
        <v>66</v>
      </c>
      <c r="C29" s="210"/>
      <c r="D29" s="211"/>
      <c r="E29" s="62" t="s">
        <v>29</v>
      </c>
      <c r="F29" s="7"/>
      <c r="G29" s="46"/>
      <c r="H29" s="117"/>
      <c r="I29" s="43">
        <f t="shared" si="0"/>
        <v>0</v>
      </c>
    </row>
    <row r="30" spans="1:9" ht="15.75" customHeight="1">
      <c r="A30" s="91"/>
      <c r="B30" s="197" t="s">
        <v>26</v>
      </c>
      <c r="C30" s="198"/>
      <c r="D30" s="199"/>
      <c r="E30" s="12"/>
      <c r="F30" s="7"/>
      <c r="G30" s="16">
        <f>SUM(G14:G29)</f>
        <v>9.79</v>
      </c>
      <c r="H30" s="16">
        <f>SUM(H15:H29)</f>
        <v>10.429999999999998</v>
      </c>
      <c r="I30" s="43">
        <f t="shared" si="0"/>
        <v>530824</v>
      </c>
    </row>
    <row r="31" spans="1:9" ht="21" customHeight="1">
      <c r="A31" s="41" t="s">
        <v>128</v>
      </c>
      <c r="B31" s="148" t="s">
        <v>112</v>
      </c>
      <c r="C31" s="149"/>
      <c r="D31" s="149"/>
      <c r="E31" s="106" t="s">
        <v>115</v>
      </c>
      <c r="F31" s="34" t="s">
        <v>47</v>
      </c>
      <c r="G31" s="19">
        <v>1.12</v>
      </c>
      <c r="H31" s="19">
        <v>1.19</v>
      </c>
      <c r="I31" s="43">
        <f t="shared" si="0"/>
        <v>60643</v>
      </c>
    </row>
    <row r="32" spans="1:9" ht="15.75" customHeight="1">
      <c r="A32" s="41" t="s">
        <v>129</v>
      </c>
      <c r="B32" s="200" t="s">
        <v>103</v>
      </c>
      <c r="C32" s="200"/>
      <c r="D32" s="200"/>
      <c r="E32" s="200"/>
      <c r="F32" s="200"/>
      <c r="G32" s="16">
        <f>SUM(G30:G31)</f>
        <v>10.91</v>
      </c>
      <c r="H32" s="16">
        <f>SUM(H30:H31)</f>
        <v>11.619999999999997</v>
      </c>
      <c r="I32" s="43">
        <f t="shared" si="0"/>
        <v>591467</v>
      </c>
    </row>
    <row r="33" spans="1:9" ht="24" customHeight="1" thickBot="1">
      <c r="A33" s="93" t="s">
        <v>41</v>
      </c>
      <c r="B33" s="194" t="s">
        <v>140</v>
      </c>
      <c r="C33" s="195"/>
      <c r="D33" s="196"/>
      <c r="E33" s="108" t="s">
        <v>115</v>
      </c>
      <c r="F33" s="118" t="s">
        <v>47</v>
      </c>
      <c r="G33" s="109">
        <v>0.8</v>
      </c>
      <c r="H33" s="119">
        <v>0.85</v>
      </c>
      <c r="I33" s="110">
        <f t="shared" si="0"/>
        <v>43317</v>
      </c>
    </row>
    <row r="34" spans="2:9" ht="59.25" customHeight="1">
      <c r="B34" s="206" t="s">
        <v>141</v>
      </c>
      <c r="C34" s="206"/>
      <c r="D34" s="206"/>
      <c r="E34" s="206"/>
      <c r="G34" s="122"/>
      <c r="H34" s="79"/>
      <c r="I34" s="120"/>
    </row>
    <row r="35" spans="2:9" ht="24.75" customHeight="1">
      <c r="B35" s="121"/>
      <c r="C35" s="121"/>
      <c r="D35" s="121"/>
      <c r="E35" s="121"/>
      <c r="G35" s="79"/>
      <c r="H35" s="79"/>
      <c r="I35" s="120"/>
    </row>
    <row r="36" spans="1:9" ht="15.75" customHeight="1">
      <c r="A36" s="38" t="s">
        <v>142</v>
      </c>
      <c r="B36" s="38"/>
      <c r="C36" s="38"/>
      <c r="D36" s="23"/>
      <c r="G36" s="79"/>
      <c r="H36" s="79"/>
      <c r="I36" s="120"/>
    </row>
  </sheetData>
  <sheetProtection/>
  <mergeCells count="27">
    <mergeCell ref="B11:F11"/>
    <mergeCell ref="B12:F12"/>
    <mergeCell ref="A1:I1"/>
    <mergeCell ref="B8:D8"/>
    <mergeCell ref="B9:D9"/>
    <mergeCell ref="B10:F10"/>
    <mergeCell ref="B18:D18"/>
    <mergeCell ref="B19:D19"/>
    <mergeCell ref="B20:D20"/>
    <mergeCell ref="B21:D21"/>
    <mergeCell ref="B13:F13"/>
    <mergeCell ref="B15:D15"/>
    <mergeCell ref="B16:D16"/>
    <mergeCell ref="B17:D17"/>
    <mergeCell ref="B22:D22"/>
    <mergeCell ref="B23:D23"/>
    <mergeCell ref="B32:F32"/>
    <mergeCell ref="B33:D33"/>
    <mergeCell ref="B24:D24"/>
    <mergeCell ref="B25:D25"/>
    <mergeCell ref="B34:E34"/>
    <mergeCell ref="B26:D26"/>
    <mergeCell ref="B27:D27"/>
    <mergeCell ref="B28:D28"/>
    <mergeCell ref="B29:D29"/>
    <mergeCell ref="B30:D30"/>
    <mergeCell ref="B31:D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 topLeftCell="A1">
      <selection activeCell="K4" sqref="K1:L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125" style="0" customWidth="1"/>
    <col min="6" max="6" width="0.12890625" style="0" customWidth="1"/>
    <col min="7" max="7" width="10.375" style="0" hidden="1" customWidth="1"/>
    <col min="8" max="8" width="14.00390625" style="0" customWidth="1"/>
    <col min="9" max="9" width="12.00390625" style="0" customWidth="1"/>
    <col min="10" max="10" width="16.875" style="79" customWidth="1"/>
    <col min="11" max="12" width="0" style="0" hidden="1" customWidth="1"/>
  </cols>
  <sheetData>
    <row r="1" spans="1:10" ht="125.25" customHeight="1">
      <c r="A1" s="158" t="s">
        <v>157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77.25" customHeight="1">
      <c r="A2" s="159" t="s">
        <v>158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1.5">
      <c r="A3" s="1" t="s">
        <v>37</v>
      </c>
      <c r="B3" s="1" t="s">
        <v>38</v>
      </c>
      <c r="C3" s="2"/>
      <c r="D3" s="113" t="s">
        <v>131</v>
      </c>
      <c r="E3" s="21">
        <v>4375.4</v>
      </c>
      <c r="F3" s="2"/>
      <c r="J3"/>
    </row>
    <row r="4" spans="2:10" ht="15.75">
      <c r="B4" s="3" t="s">
        <v>1</v>
      </c>
      <c r="C4" s="25">
        <v>5</v>
      </c>
      <c r="D4" s="2" t="s">
        <v>2</v>
      </c>
      <c r="E4" s="22">
        <v>90</v>
      </c>
      <c r="F4" s="2"/>
      <c r="J4"/>
    </row>
    <row r="5" spans="2:10" ht="15.75">
      <c r="B5" s="3" t="s">
        <v>3</v>
      </c>
      <c r="C5" s="4">
        <v>6</v>
      </c>
      <c r="D5" s="2" t="s">
        <v>4</v>
      </c>
      <c r="E5" s="2" t="s">
        <v>15</v>
      </c>
      <c r="F5" s="2"/>
      <c r="G5" s="2"/>
      <c r="J5"/>
    </row>
    <row r="6" spans="2:10" ht="15.75">
      <c r="B6" s="3"/>
      <c r="C6" s="4"/>
      <c r="D6" s="2" t="s">
        <v>5</v>
      </c>
      <c r="E6" s="2" t="s">
        <v>15</v>
      </c>
      <c r="F6" s="2"/>
      <c r="G6" s="2"/>
      <c r="J6"/>
    </row>
    <row r="7" spans="1:12" ht="46.5" customHeight="1">
      <c r="A7" s="17" t="s">
        <v>31</v>
      </c>
      <c r="B7" s="160" t="s">
        <v>48</v>
      </c>
      <c r="C7" s="161"/>
      <c r="D7" s="162"/>
      <c r="E7" s="10" t="s">
        <v>6</v>
      </c>
      <c r="F7" s="10" t="s">
        <v>7</v>
      </c>
      <c r="G7" s="123" t="s">
        <v>144</v>
      </c>
      <c r="H7" s="163" t="s">
        <v>145</v>
      </c>
      <c r="I7" s="164"/>
      <c r="J7" s="165"/>
      <c r="K7" s="35">
        <v>4</v>
      </c>
      <c r="L7" s="124" t="s">
        <v>146</v>
      </c>
    </row>
    <row r="8" spans="1:10" ht="15.75">
      <c r="A8" s="18">
        <v>1</v>
      </c>
      <c r="B8" s="169"/>
      <c r="C8" s="170"/>
      <c r="D8" s="170"/>
      <c r="E8" s="170"/>
      <c r="F8" s="171"/>
      <c r="G8" s="125"/>
      <c r="H8" s="126" t="s">
        <v>50</v>
      </c>
      <c r="I8" s="54" t="s">
        <v>51</v>
      </c>
      <c r="J8" s="54" t="s">
        <v>52</v>
      </c>
    </row>
    <row r="9" spans="1:10" ht="15.75">
      <c r="A9" s="18"/>
      <c r="B9" s="169" t="s">
        <v>53</v>
      </c>
      <c r="C9" s="170"/>
      <c r="D9" s="170"/>
      <c r="E9" s="170"/>
      <c r="F9" s="171"/>
      <c r="G9" s="36"/>
      <c r="H9" s="36"/>
      <c r="I9" s="36"/>
      <c r="J9" s="54"/>
    </row>
    <row r="10" spans="1:10" ht="15.75">
      <c r="A10" s="56"/>
      <c r="B10" s="166" t="s">
        <v>54</v>
      </c>
      <c r="C10" s="166"/>
      <c r="D10" s="166"/>
      <c r="E10" s="166"/>
      <c r="F10" s="166"/>
      <c r="G10" s="13"/>
      <c r="H10" s="57">
        <v>205549.58</v>
      </c>
      <c r="I10" s="42"/>
      <c r="J10" s="127">
        <f>H10+I10</f>
        <v>205549.58</v>
      </c>
    </row>
    <row r="11" spans="1:10" ht="15.75">
      <c r="A11" s="56"/>
      <c r="B11" s="166" t="s">
        <v>55</v>
      </c>
      <c r="C11" s="166"/>
      <c r="D11" s="166"/>
      <c r="E11" s="166"/>
      <c r="F11" s="166"/>
      <c r="G11" s="13"/>
      <c r="H11" s="14">
        <v>12366.31</v>
      </c>
      <c r="I11" s="42"/>
      <c r="J11" s="127">
        <f>H11+I11</f>
        <v>12366.31</v>
      </c>
    </row>
    <row r="12" spans="1:10" ht="15.75">
      <c r="A12" s="18"/>
      <c r="B12" s="166" t="s">
        <v>56</v>
      </c>
      <c r="C12" s="166"/>
      <c r="D12" s="166"/>
      <c r="E12" s="166"/>
      <c r="F12" s="166"/>
      <c r="G12" s="13"/>
      <c r="H12" s="57"/>
      <c r="I12" s="42">
        <v>0</v>
      </c>
      <c r="J12" s="127">
        <f>H12+I12</f>
        <v>0</v>
      </c>
    </row>
    <row r="13" spans="1:10" ht="15.75">
      <c r="A13" s="18"/>
      <c r="B13" s="166" t="s">
        <v>57</v>
      </c>
      <c r="C13" s="166"/>
      <c r="D13" s="166"/>
      <c r="E13" s="166"/>
      <c r="F13" s="166"/>
      <c r="G13" s="13"/>
      <c r="H13" s="57">
        <v>0</v>
      </c>
      <c r="I13" s="58">
        <v>0</v>
      </c>
      <c r="J13" s="127">
        <f>H13+I13</f>
        <v>0</v>
      </c>
    </row>
    <row r="14" spans="1:10" ht="15.75">
      <c r="A14" s="18"/>
      <c r="B14" s="167" t="s">
        <v>58</v>
      </c>
      <c r="C14" s="167"/>
      <c r="D14" s="167"/>
      <c r="E14" s="167"/>
      <c r="F14" s="167"/>
      <c r="G14" s="13"/>
      <c r="H14" s="29">
        <f>SUM(H10:H12)</f>
        <v>217915.88999999998</v>
      </c>
      <c r="I14" s="59">
        <f>SUM(I10:I12)</f>
        <v>0</v>
      </c>
      <c r="J14" s="29">
        <f>SUM(J10:J13)</f>
        <v>217915.88999999998</v>
      </c>
    </row>
    <row r="15" spans="1:10" ht="18.75">
      <c r="A15" s="18">
        <v>2</v>
      </c>
      <c r="B15" s="218" t="s">
        <v>32</v>
      </c>
      <c r="C15" s="218"/>
      <c r="D15" s="218"/>
      <c r="E15" s="218"/>
      <c r="F15" s="218"/>
      <c r="G15" s="13"/>
      <c r="H15" s="57"/>
      <c r="I15" s="42"/>
      <c r="J15" s="24"/>
    </row>
    <row r="16" spans="1:10" ht="15.75">
      <c r="A16" s="18" t="s">
        <v>59</v>
      </c>
      <c r="B16" s="128" t="s">
        <v>33</v>
      </c>
      <c r="C16" s="128"/>
      <c r="D16" s="128"/>
      <c r="E16" s="128"/>
      <c r="F16" s="129"/>
      <c r="G16" s="126"/>
      <c r="H16" s="126"/>
      <c r="I16" s="50"/>
      <c r="J16" s="54"/>
    </row>
    <row r="17" spans="1:10" ht="33" customHeight="1">
      <c r="A17" s="61"/>
      <c r="B17" s="174" t="s">
        <v>45</v>
      </c>
      <c r="C17" s="174"/>
      <c r="D17" s="174"/>
      <c r="E17" s="62" t="s">
        <v>28</v>
      </c>
      <c r="F17" s="45" t="s">
        <v>22</v>
      </c>
      <c r="G17" s="46">
        <v>1.12</v>
      </c>
      <c r="H17" s="63">
        <f>ROUND($E$3*G17*$K$7,2)</f>
        <v>19601.79</v>
      </c>
      <c r="I17" s="64"/>
      <c r="J17" s="65">
        <f>SUM(H17:I17)</f>
        <v>19601.79</v>
      </c>
    </row>
    <row r="18" spans="1:10" ht="17.25" customHeight="1">
      <c r="A18" s="18"/>
      <c r="B18" s="175" t="s">
        <v>16</v>
      </c>
      <c r="C18" s="175"/>
      <c r="D18" s="175"/>
      <c r="E18" s="62" t="s">
        <v>28</v>
      </c>
      <c r="F18" s="45" t="s">
        <v>17</v>
      </c>
      <c r="G18" s="46">
        <v>0.3</v>
      </c>
      <c r="H18" s="63">
        <f>ROUND($E$3*G18*$K$7,2)</f>
        <v>5250.48</v>
      </c>
      <c r="I18" s="64"/>
      <c r="J18" s="65">
        <f>SUM(H18:I18)</f>
        <v>5250.48</v>
      </c>
    </row>
    <row r="19" spans="1:10" ht="20.25" customHeight="1">
      <c r="A19" s="18"/>
      <c r="B19" s="172" t="s">
        <v>21</v>
      </c>
      <c r="C19" s="172"/>
      <c r="D19" s="172"/>
      <c r="E19" s="66" t="s">
        <v>60</v>
      </c>
      <c r="F19" s="47" t="s">
        <v>18</v>
      </c>
      <c r="G19" s="46">
        <v>0.41</v>
      </c>
      <c r="H19" s="63">
        <f>J19-I19</f>
        <v>1239.2</v>
      </c>
      <c r="I19" s="64"/>
      <c r="J19" s="67">
        <v>1239.2</v>
      </c>
    </row>
    <row r="20" spans="1:10" ht="20.25" customHeight="1">
      <c r="A20" s="61"/>
      <c r="B20" s="174" t="s">
        <v>27</v>
      </c>
      <c r="C20" s="174"/>
      <c r="D20" s="174"/>
      <c r="E20" s="68" t="s">
        <v>8</v>
      </c>
      <c r="F20" s="48" t="s">
        <v>9</v>
      </c>
      <c r="G20" s="46">
        <v>0.54</v>
      </c>
      <c r="H20" s="63">
        <f>ROUND($E$3*G20*$K$7,2)</f>
        <v>9450.86</v>
      </c>
      <c r="I20" s="64"/>
      <c r="J20" s="65">
        <f>SUM(H20:I20)</f>
        <v>9450.86</v>
      </c>
    </row>
    <row r="21" spans="1:10" ht="54.75" customHeight="1">
      <c r="A21" s="18"/>
      <c r="B21" s="172" t="s">
        <v>25</v>
      </c>
      <c r="C21" s="172"/>
      <c r="D21" s="172"/>
      <c r="E21" s="66" t="s">
        <v>61</v>
      </c>
      <c r="F21" s="47" t="s">
        <v>23</v>
      </c>
      <c r="G21" s="46">
        <v>0.13</v>
      </c>
      <c r="H21" s="63">
        <f>J21-I21</f>
        <v>4439.88</v>
      </c>
      <c r="I21" s="64"/>
      <c r="J21" s="67">
        <v>4439.88</v>
      </c>
    </row>
    <row r="22" spans="1:10" ht="28.5" customHeight="1">
      <c r="A22" s="61"/>
      <c r="B22" s="172" t="s">
        <v>10</v>
      </c>
      <c r="C22" s="172"/>
      <c r="D22" s="172"/>
      <c r="E22" s="66" t="s">
        <v>8</v>
      </c>
      <c r="F22" s="47" t="s">
        <v>11</v>
      </c>
      <c r="G22" s="111">
        <v>0</v>
      </c>
      <c r="H22" s="63">
        <f>ROUND($E$3*G22*$K$7,2)</f>
        <v>0</v>
      </c>
      <c r="I22" s="64"/>
      <c r="J22" s="67">
        <f>H22</f>
        <v>0</v>
      </c>
    </row>
    <row r="23" spans="1:10" ht="20.25" customHeight="1">
      <c r="A23" s="61"/>
      <c r="B23" s="172" t="s">
        <v>24</v>
      </c>
      <c r="C23" s="173"/>
      <c r="D23" s="173"/>
      <c r="E23" s="69" t="s">
        <v>12</v>
      </c>
      <c r="F23" s="44" t="s">
        <v>13</v>
      </c>
      <c r="G23" s="46">
        <v>0.05</v>
      </c>
      <c r="H23" s="63">
        <f>J23-I23</f>
        <v>1331.55</v>
      </c>
      <c r="I23" s="64"/>
      <c r="J23" s="67">
        <v>1331.55</v>
      </c>
    </row>
    <row r="24" spans="1:10" ht="60" customHeight="1">
      <c r="A24" s="18"/>
      <c r="B24" s="172" t="s">
        <v>62</v>
      </c>
      <c r="C24" s="172"/>
      <c r="D24" s="172"/>
      <c r="E24" s="62" t="s">
        <v>125</v>
      </c>
      <c r="F24" s="28" t="s">
        <v>36</v>
      </c>
      <c r="G24" s="46">
        <v>1.63</v>
      </c>
      <c r="H24" s="63">
        <f aca="true" t="shared" si="0" ref="H24:H29">ROUND($E$3*G24*$K$7,2)</f>
        <v>28527.61</v>
      </c>
      <c r="I24" s="64"/>
      <c r="J24" s="65">
        <f aca="true" t="shared" si="1" ref="J24:J29">SUM(H24:I24)</f>
        <v>28527.61</v>
      </c>
    </row>
    <row r="25" spans="1:10" ht="59.25" customHeight="1">
      <c r="A25" s="18"/>
      <c r="B25" s="175" t="s">
        <v>14</v>
      </c>
      <c r="C25" s="175"/>
      <c r="D25" s="175"/>
      <c r="E25" s="62" t="s">
        <v>46</v>
      </c>
      <c r="F25" s="28" t="s">
        <v>36</v>
      </c>
      <c r="G25" s="46">
        <v>0.47</v>
      </c>
      <c r="H25" s="63">
        <f>J25-I25</f>
        <v>8334.04</v>
      </c>
      <c r="I25" s="64"/>
      <c r="J25" s="65">
        <v>8334.04</v>
      </c>
    </row>
    <row r="26" spans="1:10" ht="30" customHeight="1">
      <c r="A26" s="18"/>
      <c r="B26" s="155" t="s">
        <v>30</v>
      </c>
      <c r="C26" s="152"/>
      <c r="D26" s="153"/>
      <c r="E26" s="62" t="s">
        <v>29</v>
      </c>
      <c r="F26" s="28" t="s">
        <v>36</v>
      </c>
      <c r="G26" s="46">
        <f>4.32-G27-G28</f>
        <v>4.32</v>
      </c>
      <c r="H26" s="63">
        <f t="shared" si="0"/>
        <v>75606.91</v>
      </c>
      <c r="I26" s="71"/>
      <c r="J26" s="65">
        <f t="shared" si="1"/>
        <v>75606.91</v>
      </c>
    </row>
    <row r="27" spans="1:10" ht="26.25" customHeight="1">
      <c r="A27" s="61"/>
      <c r="B27" s="172" t="s">
        <v>63</v>
      </c>
      <c r="C27" s="172"/>
      <c r="D27" s="172"/>
      <c r="E27" s="66" t="s">
        <v>8</v>
      </c>
      <c r="F27" s="28" t="s">
        <v>36</v>
      </c>
      <c r="G27" s="111">
        <v>0</v>
      </c>
      <c r="H27" s="63">
        <f t="shared" si="0"/>
        <v>0</v>
      </c>
      <c r="I27" s="71"/>
      <c r="J27" s="65">
        <f t="shared" si="1"/>
        <v>0</v>
      </c>
    </row>
    <row r="28" spans="1:10" ht="17.25" customHeight="1">
      <c r="A28" s="18"/>
      <c r="B28" s="172" t="s">
        <v>64</v>
      </c>
      <c r="C28" s="172"/>
      <c r="D28" s="172"/>
      <c r="E28" s="66" t="s">
        <v>8</v>
      </c>
      <c r="F28" s="28" t="s">
        <v>36</v>
      </c>
      <c r="G28" s="111">
        <v>0</v>
      </c>
      <c r="H28" s="63">
        <f t="shared" si="0"/>
        <v>0</v>
      </c>
      <c r="I28" s="71"/>
      <c r="J28" s="65">
        <f t="shared" si="1"/>
        <v>0</v>
      </c>
    </row>
    <row r="29" spans="1:10" ht="29.25" customHeight="1">
      <c r="A29" s="18"/>
      <c r="B29" s="173" t="s">
        <v>19</v>
      </c>
      <c r="C29" s="173"/>
      <c r="D29" s="173"/>
      <c r="E29" s="62" t="s">
        <v>29</v>
      </c>
      <c r="F29" s="28" t="s">
        <v>36</v>
      </c>
      <c r="G29" s="46">
        <v>1.12</v>
      </c>
      <c r="H29" s="63">
        <f t="shared" si="0"/>
        <v>19601.79</v>
      </c>
      <c r="I29" s="64"/>
      <c r="J29" s="65">
        <f t="shared" si="1"/>
        <v>19601.79</v>
      </c>
    </row>
    <row r="30" spans="1:10" ht="15.75">
      <c r="A30" s="18"/>
      <c r="B30" s="176"/>
      <c r="C30" s="152"/>
      <c r="D30" s="153"/>
      <c r="E30" s="106"/>
      <c r="F30" s="28"/>
      <c r="G30" s="44"/>
      <c r="H30" s="70"/>
      <c r="I30" s="58"/>
      <c r="J30" s="131"/>
    </row>
    <row r="31" spans="1:10" ht="15.75">
      <c r="A31" s="18"/>
      <c r="B31" s="219" t="s">
        <v>26</v>
      </c>
      <c r="C31" s="219"/>
      <c r="D31" s="219"/>
      <c r="E31" s="18"/>
      <c r="F31" s="28"/>
      <c r="G31" s="19">
        <f>SUM(G17:G29)</f>
        <v>10.09</v>
      </c>
      <c r="H31" s="60">
        <f>SUM(H17:H30)</f>
        <v>173384.11000000002</v>
      </c>
      <c r="I31" s="59"/>
      <c r="J31" s="60">
        <f>SUM(J17:J30)</f>
        <v>173384.11000000002</v>
      </c>
    </row>
    <row r="32" spans="1:10" ht="15.75">
      <c r="A32" s="18"/>
      <c r="B32" s="157" t="s">
        <v>65</v>
      </c>
      <c r="C32" s="150"/>
      <c r="D32" s="151"/>
      <c r="E32" s="106" t="s">
        <v>8</v>
      </c>
      <c r="F32" s="28"/>
      <c r="G32" s="44"/>
      <c r="H32" s="70"/>
      <c r="I32" s="58"/>
      <c r="J32" s="131"/>
    </row>
    <row r="33" spans="1:10" ht="25.5">
      <c r="A33" s="18"/>
      <c r="B33" s="157" t="s">
        <v>66</v>
      </c>
      <c r="C33" s="150"/>
      <c r="D33" s="151"/>
      <c r="E33" s="130" t="s">
        <v>29</v>
      </c>
      <c r="F33" s="28"/>
      <c r="G33" s="44"/>
      <c r="H33" s="70"/>
      <c r="I33" s="58"/>
      <c r="J33" s="131"/>
    </row>
    <row r="34" spans="1:10" ht="15.75">
      <c r="A34" s="18"/>
      <c r="B34" s="176"/>
      <c r="C34" s="152"/>
      <c r="D34" s="153"/>
      <c r="E34" s="106"/>
      <c r="F34" s="28"/>
      <c r="G34" s="44"/>
      <c r="H34" s="70"/>
      <c r="I34" s="58"/>
      <c r="J34" s="131"/>
    </row>
    <row r="35" spans="1:10" ht="15" customHeight="1">
      <c r="A35" s="18" t="s">
        <v>67</v>
      </c>
      <c r="B35" s="148" t="s">
        <v>68</v>
      </c>
      <c r="C35" s="149"/>
      <c r="D35" s="149"/>
      <c r="E35" s="177"/>
      <c r="F35" s="28" t="s">
        <v>36</v>
      </c>
      <c r="G35" s="19">
        <f>H35/E3/$K$7</f>
        <v>0</v>
      </c>
      <c r="H35" s="132">
        <v>0</v>
      </c>
      <c r="I35" s="75"/>
      <c r="J35" s="29">
        <f>SUM(H35:I35)</f>
        <v>0</v>
      </c>
    </row>
    <row r="36" spans="1:10" ht="14.25" customHeight="1">
      <c r="A36" s="20"/>
      <c r="B36" s="179" t="s">
        <v>34</v>
      </c>
      <c r="C36" s="179"/>
      <c r="D36" s="179"/>
      <c r="E36" s="179"/>
      <c r="F36" s="179"/>
      <c r="G36" s="19">
        <f>SUM(G31:G35)</f>
        <v>10.09</v>
      </c>
      <c r="H36" s="133">
        <f>SUM(H31:H35)</f>
        <v>173384.11000000002</v>
      </c>
      <c r="I36" s="134"/>
      <c r="J36" s="133">
        <f>SUM(J31:J35)</f>
        <v>173384.11000000002</v>
      </c>
    </row>
    <row r="37" spans="1:10" ht="15.75">
      <c r="A37" s="18" t="s">
        <v>69</v>
      </c>
      <c r="B37" s="179" t="s">
        <v>70</v>
      </c>
      <c r="C37" s="179"/>
      <c r="D37" s="179"/>
      <c r="E37" s="179"/>
      <c r="F37" s="179"/>
      <c r="G37" s="19">
        <f>H37/E3/$K$7</f>
        <v>0</v>
      </c>
      <c r="H37" s="77">
        <v>0</v>
      </c>
      <c r="I37" s="77"/>
      <c r="J37" s="135">
        <f>SUM(H37:I37)</f>
        <v>0</v>
      </c>
    </row>
    <row r="38" spans="1:10" ht="24.75" customHeight="1">
      <c r="A38" s="20"/>
      <c r="B38" s="179" t="s">
        <v>71</v>
      </c>
      <c r="C38" s="179"/>
      <c r="D38" s="179"/>
      <c r="E38" s="179"/>
      <c r="F38" s="179"/>
      <c r="G38" s="19">
        <f>SUM(G36:G37)</f>
        <v>10.09</v>
      </c>
      <c r="H38" s="133">
        <f>SUM(H36:H37)</f>
        <v>173384.11000000002</v>
      </c>
      <c r="I38" s="134"/>
      <c r="J38" s="133">
        <f>SUM(J36:J37)</f>
        <v>173384.11000000002</v>
      </c>
    </row>
    <row r="39" spans="1:10" ht="27" customHeight="1">
      <c r="A39" s="18">
        <v>3</v>
      </c>
      <c r="B39" s="220" t="s">
        <v>147</v>
      </c>
      <c r="C39" s="181"/>
      <c r="D39" s="181"/>
      <c r="E39" s="181"/>
      <c r="F39" s="181"/>
      <c r="G39" s="112"/>
      <c r="H39" s="63">
        <f>H14-H38</f>
        <v>44531.77999999997</v>
      </c>
      <c r="I39" s="63"/>
      <c r="J39" s="59">
        <f>J14-J38</f>
        <v>44531.77999999997</v>
      </c>
    </row>
    <row r="40" spans="2:10" ht="15.75">
      <c r="B40" s="23"/>
      <c r="F40" s="23"/>
      <c r="J40"/>
    </row>
    <row r="41" spans="2:10" ht="36" customHeight="1">
      <c r="B41" s="183" t="s">
        <v>148</v>
      </c>
      <c r="C41" s="183"/>
      <c r="D41" s="183"/>
      <c r="E41" s="183"/>
      <c r="F41" s="183"/>
      <c r="G41" s="183"/>
      <c r="H41" s="183"/>
      <c r="I41" s="183"/>
      <c r="J41"/>
    </row>
    <row r="42" spans="2:10" ht="25.5" customHeight="1">
      <c r="B42" s="23"/>
      <c r="C42" s="23"/>
      <c r="D42" s="23"/>
      <c r="J42"/>
    </row>
    <row r="43" spans="2:10" ht="15.75">
      <c r="B43" s="27" t="s">
        <v>35</v>
      </c>
      <c r="C43" s="27"/>
      <c r="D43" s="27"/>
      <c r="J43"/>
    </row>
    <row r="44" spans="2:10" ht="15.75">
      <c r="B44" s="32" t="s">
        <v>149</v>
      </c>
      <c r="C44" s="32"/>
      <c r="D44" s="27"/>
      <c r="J44"/>
    </row>
    <row r="45" spans="2:10" ht="15.75" customHeight="1">
      <c r="B45" s="156" t="s">
        <v>150</v>
      </c>
      <c r="C45" s="156"/>
      <c r="D45" s="156"/>
      <c r="J45"/>
    </row>
    <row r="46" ht="15.75">
      <c r="J46"/>
    </row>
    <row r="47" spans="2:10" ht="15.75">
      <c r="B47" t="s">
        <v>155</v>
      </c>
      <c r="J47"/>
    </row>
  </sheetData>
  <mergeCells count="37">
    <mergeCell ref="B45:D45"/>
    <mergeCell ref="B35:E35"/>
    <mergeCell ref="B36:F36"/>
    <mergeCell ref="B41:I41"/>
    <mergeCell ref="B37:F37"/>
    <mergeCell ref="B38:F38"/>
    <mergeCell ref="B39:F39"/>
    <mergeCell ref="B33:D33"/>
    <mergeCell ref="B34:D34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">
      <selection activeCell="A1" sqref="A1:IV16384"/>
    </sheetView>
  </sheetViews>
  <sheetFormatPr defaultColWidth="9.00390625" defaultRowHeight="15.75"/>
  <cols>
    <col min="1" max="1" width="12.125" style="80" bestFit="1" customWidth="1"/>
    <col min="2" max="2" width="10.75390625" style="80" customWidth="1"/>
    <col min="3" max="3" width="12.625" style="80" bestFit="1" customWidth="1"/>
    <col min="4" max="4" width="9.875" style="80" bestFit="1" customWidth="1"/>
    <col min="5" max="6" width="12.625" style="80" bestFit="1" customWidth="1"/>
    <col min="7" max="7" width="9.875" style="80" bestFit="1" customWidth="1"/>
    <col min="8" max="8" width="12.625" style="80" bestFit="1" customWidth="1"/>
    <col min="9" max="9" width="11.625" style="80" customWidth="1"/>
    <col min="10" max="10" width="7.125" style="80" bestFit="1" customWidth="1"/>
    <col min="11" max="11" width="9.00390625" style="80" customWidth="1"/>
    <col min="12" max="12" width="11.875" style="80" bestFit="1" customWidth="1"/>
    <col min="13" max="13" width="12.625" style="80" bestFit="1" customWidth="1"/>
    <col min="14" max="14" width="9.875" style="80" bestFit="1" customWidth="1"/>
    <col min="15" max="15" width="11.375" style="80" bestFit="1" customWidth="1"/>
    <col min="16" max="16" width="11.00390625" style="80" bestFit="1" customWidth="1"/>
    <col min="17" max="17" width="8.50390625" style="80" bestFit="1" customWidth="1"/>
    <col min="18" max="18" width="12.625" style="80" bestFit="1" customWidth="1"/>
    <col min="19" max="19" width="12.875" style="80" customWidth="1"/>
    <col min="20" max="16384" width="9.00390625" style="80" customWidth="1"/>
  </cols>
  <sheetData>
    <row r="1" spans="1:19" ht="109.5" customHeight="1" thickBot="1">
      <c r="A1" s="228" t="s">
        <v>156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5.75" customHeight="1">
      <c r="A2" s="229" t="s">
        <v>72</v>
      </c>
      <c r="B2" s="231" t="s">
        <v>73</v>
      </c>
      <c r="C2" s="231" t="s">
        <v>74</v>
      </c>
      <c r="D2" s="231"/>
      <c r="E2" s="231"/>
      <c r="F2" s="231"/>
      <c r="G2" s="231"/>
      <c r="H2" s="231"/>
      <c r="I2" s="231"/>
      <c r="J2" s="233" t="s">
        <v>75</v>
      </c>
      <c r="K2" s="233"/>
      <c r="L2" s="233"/>
      <c r="M2" s="234" t="s">
        <v>76</v>
      </c>
      <c r="N2" s="231" t="s">
        <v>77</v>
      </c>
      <c r="O2" s="231"/>
      <c r="P2" s="231"/>
      <c r="Q2" s="231"/>
      <c r="R2" s="231"/>
      <c r="S2" s="236" t="s">
        <v>106</v>
      </c>
    </row>
    <row r="3" spans="1:19" ht="15.75">
      <c r="A3" s="230"/>
      <c r="B3" s="232"/>
      <c r="C3" s="221" t="s">
        <v>78</v>
      </c>
      <c r="D3" s="222"/>
      <c r="E3" s="223"/>
      <c r="F3" s="221" t="s">
        <v>79</v>
      </c>
      <c r="G3" s="222"/>
      <c r="H3" s="223"/>
      <c r="I3" s="239" t="s">
        <v>80</v>
      </c>
      <c r="J3" s="226" t="s">
        <v>81</v>
      </c>
      <c r="K3" s="224" t="s">
        <v>82</v>
      </c>
      <c r="L3" s="226" t="s">
        <v>83</v>
      </c>
      <c r="M3" s="235"/>
      <c r="N3" s="239" t="s">
        <v>84</v>
      </c>
      <c r="O3" s="232" t="s">
        <v>85</v>
      </c>
      <c r="P3" s="232" t="s">
        <v>86</v>
      </c>
      <c r="Q3" s="232" t="s">
        <v>87</v>
      </c>
      <c r="R3" s="232" t="s">
        <v>88</v>
      </c>
      <c r="S3" s="237"/>
    </row>
    <row r="4" spans="1:19" ht="47.25" customHeight="1">
      <c r="A4" s="230"/>
      <c r="B4" s="232"/>
      <c r="C4" s="81" t="s">
        <v>89</v>
      </c>
      <c r="D4" s="82" t="s">
        <v>87</v>
      </c>
      <c r="E4" s="82" t="s">
        <v>88</v>
      </c>
      <c r="F4" s="81" t="s">
        <v>89</v>
      </c>
      <c r="G4" s="82" t="s">
        <v>87</v>
      </c>
      <c r="H4" s="82" t="s">
        <v>88</v>
      </c>
      <c r="I4" s="239"/>
      <c r="J4" s="227"/>
      <c r="K4" s="225"/>
      <c r="L4" s="227"/>
      <c r="M4" s="225"/>
      <c r="N4" s="232"/>
      <c r="O4" s="232"/>
      <c r="P4" s="232"/>
      <c r="Q4" s="232"/>
      <c r="R4" s="232"/>
      <c r="S4" s="237"/>
    </row>
    <row r="5" spans="1:19" ht="31.5">
      <c r="A5" s="136">
        <v>1</v>
      </c>
      <c r="B5" s="82">
        <v>2</v>
      </c>
      <c r="C5" s="81">
        <v>3</v>
      </c>
      <c r="D5" s="82">
        <v>4</v>
      </c>
      <c r="E5" s="82" t="s">
        <v>90</v>
      </c>
      <c r="F5" s="81">
        <v>6</v>
      </c>
      <c r="G5" s="82">
        <v>7</v>
      </c>
      <c r="H5" s="82" t="s">
        <v>91</v>
      </c>
      <c r="I5" s="81" t="s">
        <v>92</v>
      </c>
      <c r="J5" s="82">
        <v>10</v>
      </c>
      <c r="K5" s="82">
        <v>11</v>
      </c>
      <c r="L5" s="81">
        <v>12</v>
      </c>
      <c r="M5" s="81" t="s">
        <v>93</v>
      </c>
      <c r="N5" s="82">
        <v>14</v>
      </c>
      <c r="O5" s="81">
        <v>15</v>
      </c>
      <c r="P5" s="82">
        <v>16</v>
      </c>
      <c r="Q5" s="82">
        <v>17</v>
      </c>
      <c r="R5" s="81" t="s">
        <v>94</v>
      </c>
      <c r="S5" s="137" t="s">
        <v>95</v>
      </c>
    </row>
    <row r="6" spans="1:19" ht="15.75">
      <c r="A6" s="138">
        <v>-584825.71</v>
      </c>
      <c r="B6" s="84" t="s">
        <v>159</v>
      </c>
      <c r="C6" s="83">
        <v>190820.4</v>
      </c>
      <c r="D6" s="83">
        <v>11676.16</v>
      </c>
      <c r="E6" s="83">
        <f>C6+D6</f>
        <v>202496.56</v>
      </c>
      <c r="F6" s="83">
        <f>'отчет 12. ( 09-12)'!H10</f>
        <v>205549.58</v>
      </c>
      <c r="G6" s="83">
        <f>'отчет 12. ( 09-12)'!H11</f>
        <v>12366.31</v>
      </c>
      <c r="H6" s="83">
        <f>SUM(F6:G6)</f>
        <v>217915.88999999998</v>
      </c>
      <c r="I6" s="85">
        <f>E6-H6</f>
        <v>-15419.329999999987</v>
      </c>
      <c r="J6" s="83">
        <v>0</v>
      </c>
      <c r="K6" s="83">
        <v>0</v>
      </c>
      <c r="L6" s="83">
        <v>0</v>
      </c>
      <c r="M6" s="83">
        <f>H6+J6+K6+L6</f>
        <v>217915.88999999998</v>
      </c>
      <c r="N6" s="83">
        <f>'отчет 12. ( 09-12)'!J29</f>
        <v>19601.79</v>
      </c>
      <c r="O6" s="83">
        <f>'отчет 12. ( 09-12)'!J31-'отчет 12. ( 09-12)'!J29</f>
        <v>153782.32</v>
      </c>
      <c r="P6" s="83">
        <f>'отчет 12. ( 09-12)'!H35</f>
        <v>0</v>
      </c>
      <c r="Q6" s="85">
        <f>'[1]отчет2012(10-12)'!J37</f>
        <v>0</v>
      </c>
      <c r="R6" s="83">
        <f>SUM(N6:Q6)</f>
        <v>173384.11000000002</v>
      </c>
      <c r="S6" s="139">
        <f>M6-R6</f>
        <v>44531.77999999997</v>
      </c>
    </row>
    <row r="7" spans="1:19" ht="15.75">
      <c r="A7" s="138"/>
      <c r="B7" s="84"/>
      <c r="C7" s="83"/>
      <c r="D7" s="83"/>
      <c r="E7" s="83">
        <f>SUM(C7:D7)</f>
        <v>0</v>
      </c>
      <c r="F7" s="83"/>
      <c r="G7" s="83"/>
      <c r="H7" s="83">
        <f>SUM(F7:G7)</f>
        <v>0</v>
      </c>
      <c r="I7" s="85">
        <f>E7-H7</f>
        <v>0</v>
      </c>
      <c r="J7" s="83">
        <v>0</v>
      </c>
      <c r="K7" s="83">
        <v>0</v>
      </c>
      <c r="L7" s="83">
        <v>0</v>
      </c>
      <c r="M7" s="83">
        <f>H7+J7+K7+L7</f>
        <v>0</v>
      </c>
      <c r="N7" s="83"/>
      <c r="O7" s="83"/>
      <c r="P7" s="83"/>
      <c r="Q7" s="85">
        <v>0</v>
      </c>
      <c r="R7" s="83">
        <f>SUM(N7:Q7)</f>
        <v>0</v>
      </c>
      <c r="S7" s="139">
        <f>M7-R7</f>
        <v>0</v>
      </c>
    </row>
    <row r="8" spans="1:19" ht="15.75">
      <c r="A8" s="138"/>
      <c r="B8" s="84"/>
      <c r="C8" s="83"/>
      <c r="D8" s="83"/>
      <c r="E8" s="83">
        <f>SUM(C8:D8)</f>
        <v>0</v>
      </c>
      <c r="F8" s="83"/>
      <c r="G8" s="83"/>
      <c r="H8" s="83">
        <f>SUM(F8:G8)</f>
        <v>0</v>
      </c>
      <c r="I8" s="85">
        <f>E8-H8</f>
        <v>0</v>
      </c>
      <c r="J8" s="83">
        <v>0</v>
      </c>
      <c r="K8" s="83">
        <v>0</v>
      </c>
      <c r="L8" s="83">
        <v>0</v>
      </c>
      <c r="M8" s="83">
        <f>H8+J8+K8+L8</f>
        <v>0</v>
      </c>
      <c r="N8" s="83"/>
      <c r="O8" s="83"/>
      <c r="P8" s="83"/>
      <c r="Q8" s="85">
        <v>0</v>
      </c>
      <c r="R8" s="83">
        <f>SUM(N8:Q8)</f>
        <v>0</v>
      </c>
      <c r="S8" s="139">
        <f>M8-R8</f>
        <v>0</v>
      </c>
    </row>
    <row r="9" spans="1:19" ht="15.75">
      <c r="A9" s="138"/>
      <c r="B9" s="84"/>
      <c r="C9" s="83"/>
      <c r="D9" s="83"/>
      <c r="E9" s="83">
        <f>SUM(C9:D9)</f>
        <v>0</v>
      </c>
      <c r="F9" s="83"/>
      <c r="G9" s="83"/>
      <c r="H9" s="83">
        <f>SUM(F9:G9)</f>
        <v>0</v>
      </c>
      <c r="I9" s="85">
        <f>E9-H9</f>
        <v>0</v>
      </c>
      <c r="J9" s="83">
        <f>'[2]отчет 2011'!I12</f>
        <v>0</v>
      </c>
      <c r="K9" s="83">
        <f>'[2]отчет 2011'!I13</f>
        <v>0</v>
      </c>
      <c r="L9" s="83">
        <f>'[2]отчет 2011'!H13</f>
        <v>0</v>
      </c>
      <c r="M9" s="83">
        <f>H9+J9+K9+L9</f>
        <v>0</v>
      </c>
      <c r="N9" s="83"/>
      <c r="O9" s="83"/>
      <c r="P9" s="83"/>
      <c r="Q9" s="85">
        <v>0</v>
      </c>
      <c r="R9" s="83">
        <f>SUM(N9:Q9)</f>
        <v>0</v>
      </c>
      <c r="S9" s="139">
        <f>M9-R9</f>
        <v>0</v>
      </c>
    </row>
    <row r="10" spans="1:19" ht="15.75">
      <c r="A10" s="138"/>
      <c r="B10" s="84"/>
      <c r="C10" s="83"/>
      <c r="D10" s="83"/>
      <c r="E10" s="83">
        <f>SUM(C10:D10)</f>
        <v>0</v>
      </c>
      <c r="F10" s="83"/>
      <c r="G10" s="83"/>
      <c r="H10" s="83">
        <f>SUM(F10:G10)</f>
        <v>0</v>
      </c>
      <c r="I10" s="85">
        <f>E10-H10</f>
        <v>0</v>
      </c>
      <c r="J10" s="83">
        <v>0</v>
      </c>
      <c r="K10" s="83">
        <v>0</v>
      </c>
      <c r="L10" s="83">
        <v>0</v>
      </c>
      <c r="M10" s="83">
        <f>H10+J10+K10+L10</f>
        <v>0</v>
      </c>
      <c r="N10" s="83"/>
      <c r="O10" s="83"/>
      <c r="P10" s="83"/>
      <c r="Q10" s="85">
        <v>0</v>
      </c>
      <c r="R10" s="83">
        <f>SUM(N10:Q10)</f>
        <v>0</v>
      </c>
      <c r="S10" s="139">
        <f>M10-R10</f>
        <v>0</v>
      </c>
    </row>
    <row r="11" spans="1:19" ht="16.5" thickBot="1">
      <c r="A11" s="140"/>
      <c r="B11" s="141" t="s">
        <v>96</v>
      </c>
      <c r="C11" s="142">
        <f aca="true" t="shared" si="0" ref="C11:R11">SUM(C6:C10)</f>
        <v>190820.4</v>
      </c>
      <c r="D11" s="142">
        <f t="shared" si="0"/>
        <v>11676.16</v>
      </c>
      <c r="E11" s="142">
        <f t="shared" si="0"/>
        <v>202496.56</v>
      </c>
      <c r="F11" s="142">
        <f t="shared" si="0"/>
        <v>205549.58</v>
      </c>
      <c r="G11" s="142">
        <f t="shared" si="0"/>
        <v>12366.31</v>
      </c>
      <c r="H11" s="142">
        <f t="shared" si="0"/>
        <v>217915.88999999998</v>
      </c>
      <c r="I11" s="142">
        <f t="shared" si="0"/>
        <v>-15419.329999999987</v>
      </c>
      <c r="J11" s="142">
        <f t="shared" si="0"/>
        <v>0</v>
      </c>
      <c r="K11" s="142">
        <f t="shared" si="0"/>
        <v>0</v>
      </c>
      <c r="L11" s="142">
        <f t="shared" si="0"/>
        <v>0</v>
      </c>
      <c r="M11" s="142">
        <f t="shared" si="0"/>
        <v>217915.88999999998</v>
      </c>
      <c r="N11" s="142">
        <f t="shared" si="0"/>
        <v>19601.79</v>
      </c>
      <c r="O11" s="142">
        <f t="shared" si="0"/>
        <v>153782.32</v>
      </c>
      <c r="P11" s="142">
        <f t="shared" si="0"/>
        <v>0</v>
      </c>
      <c r="Q11" s="142">
        <f t="shared" si="0"/>
        <v>0</v>
      </c>
      <c r="R11" s="142">
        <f t="shared" si="0"/>
        <v>173384.11000000002</v>
      </c>
      <c r="S11" s="143">
        <f>A6+SUM(S6:S10)</f>
        <v>-540293.9299999999</v>
      </c>
    </row>
    <row r="14" spans="15:19" ht="16.5">
      <c r="O14" s="144"/>
      <c r="P14" s="144"/>
      <c r="Q14" s="144"/>
      <c r="R14" s="144"/>
      <c r="S14" s="145"/>
    </row>
    <row r="15" spans="15:19" ht="16.5">
      <c r="O15" s="144"/>
      <c r="P15" s="144"/>
      <c r="Q15" s="144"/>
      <c r="R15" s="144"/>
      <c r="S15" s="144"/>
    </row>
    <row r="16" spans="2:9" s="146" customFormat="1" ht="18.75">
      <c r="B16" s="238" t="s">
        <v>151</v>
      </c>
      <c r="C16" s="238"/>
      <c r="D16" s="238"/>
      <c r="E16" s="238"/>
      <c r="F16" s="238" t="s">
        <v>152</v>
      </c>
      <c r="G16" s="238"/>
      <c r="H16" s="238"/>
      <c r="I16" s="238"/>
    </row>
    <row r="17" s="146" customFormat="1" ht="18.75"/>
    <row r="19" spans="2:8" ht="29.25" customHeight="1">
      <c r="B19" s="147" t="s">
        <v>153</v>
      </c>
      <c r="F19" s="238" t="s">
        <v>154</v>
      </c>
      <c r="G19" s="238"/>
      <c r="H19" s="238"/>
    </row>
    <row r="21" ht="15.75">
      <c r="A21" s="80" t="s">
        <v>155</v>
      </c>
    </row>
  </sheetData>
  <mergeCells count="22">
    <mergeCell ref="P3:P4"/>
    <mergeCell ref="Q3:Q4"/>
    <mergeCell ref="I3:I4"/>
    <mergeCell ref="J3:J4"/>
    <mergeCell ref="B16:E16"/>
    <mergeCell ref="F16:I16"/>
    <mergeCell ref="F19:H19"/>
    <mergeCell ref="N3:N4"/>
    <mergeCell ref="A1:S1"/>
    <mergeCell ref="A2:A4"/>
    <mergeCell ref="B2:B4"/>
    <mergeCell ref="C2:I2"/>
    <mergeCell ref="J2:L2"/>
    <mergeCell ref="M2:M4"/>
    <mergeCell ref="N2:R2"/>
    <mergeCell ref="S2:S4"/>
    <mergeCell ref="R3:R4"/>
    <mergeCell ref="O3:O4"/>
    <mergeCell ref="C3:E3"/>
    <mergeCell ref="F3:H3"/>
    <mergeCell ref="K3:K4"/>
    <mergeCell ref="L3:L4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2013-02-25T10:20:24Z</cp:lastPrinted>
  <dcterms:created xsi:type="dcterms:W3CDTF">2009-08-26T03:25:10Z</dcterms:created>
  <dcterms:modified xsi:type="dcterms:W3CDTF">2013-05-08T04:56:58Z</dcterms:modified>
  <cp:category/>
  <cp:version/>
  <cp:contentType/>
  <cp:contentStatus/>
</cp:coreProperties>
</file>