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679" firstSheet="7" activeTab="7"/>
  </bookViews>
  <sheets>
    <sheet name="2008" sheetId="1" r:id="rId1"/>
    <sheet name="отчет 2009" sheetId="2" r:id="rId2"/>
    <sheet name="отчет 2010" sheetId="3" state="hidden" r:id="rId3"/>
    <sheet name="смета 2011" sheetId="4" state="hidden" r:id="rId4"/>
    <sheet name="отчет  2011" sheetId="5" state="hidden" r:id="rId5"/>
    <sheet name="смета 2012" sheetId="6" state="hidden" r:id="rId6"/>
    <sheet name="07.12" sheetId="7" state="hidden" r:id="rId7"/>
    <sheet name="отчет12(01-08)" sheetId="8" r:id="rId8"/>
    <sheet name="накопит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<sst xmlns="http://schemas.openxmlformats.org/spreadsheetml/2006/main" count="718" uniqueCount="251">
  <si>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</si>
  <si>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</si>
  <si>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</si>
  <si>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</si>
  <si>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</si>
  <si>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</si>
  <si>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</si>
  <si>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</si>
  <si>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</si>
  <si>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</si>
  <si>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</si>
  <si>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</si>
  <si>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</si>
  <si>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</si>
  <si>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</si>
  <si>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</si>
  <si>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</si>
  <si>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</si>
  <si>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</si>
  <si>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</si>
  <si>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</si>
  <si>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</si>
  <si>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</si>
  <si>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</si>
  <si>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</si>
  <si>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</si>
  <si>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</si>
  <si>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</si>
  <si>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</si>
  <si>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</si>
  <si>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</si>
  <si>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</si>
  <si>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</si>
  <si>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</si>
  <si>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</si>
  <si>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</si>
  <si>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</si>
  <si>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</si>
  <si>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</si>
  <si>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</si>
  <si>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</si>
  <si>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</si>
  <si>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</si>
  <si>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</si>
  <si>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</si>
  <si>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</si>
  <si>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</si>
  <si>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</si>
  <si>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</si>
  <si>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</si>
  <si>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</si>
  <si>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</si>
  <si>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</si>
  <si>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</si>
  <si>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</si>
  <si>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</si>
  <si>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</si>
  <si>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</si>
  <si>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</si>
  <si>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</si>
  <si>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</si>
  <si>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</si>
  <si>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</si>
  <si>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</si>
  <si>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</si>
  <si>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</si>
  <si>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</si>
  <si>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</si>
  <si>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</si>
  <si>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</si>
  <si>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</si>
  <si>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</si>
  <si>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</si>
  <si>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</si>
  <si>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</si>
  <si>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</si>
  <si>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</si>
  <si>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</si>
  <si>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</si>
  <si>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</si>
  <si>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</si>
  <si>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</si>
  <si>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</si>
  <si>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 xml:space="preserve">                    Представитель собственников  - старший по дому Горелов И.Н.,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</si>
  <si>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115</t>
  </si>
  <si>
    <t>Старший по дому                                                               И.Н. Горелов</t>
  </si>
  <si>
    <t>Претензий по управлению нет (да)</t>
  </si>
  <si>
    <t>ОТЧЕТ
о выполненных работах в 2008 году по договору управления МКД 
№228 от 28.03.2008 г., заключенного между ООО "ОЖКС №6" и собственниками многоквартирного дома
по адресу:  пр-т Ленина, 115.</t>
  </si>
  <si>
    <t xml:space="preserve">            Представитель собственников  - старший по дому Горелов И.Н.,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</si>
  <si>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</si>
  <si>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</si>
  <si>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</si>
  <si>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</si>
  <si>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</si>
  <si>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</si>
  <si>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</si>
  <si>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</si>
  <si>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</si>
  <si>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</si>
  <si>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</si>
  <si>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</si>
  <si>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</si>
  <si>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</si>
  <si>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</si>
  <si>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</si>
  <si>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</si>
  <si>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</si>
  <si>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</si>
  <si>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</si>
  <si>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</si>
  <si>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</si>
  <si>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</si>
  <si>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</si>
  <si>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</si>
  <si>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</si>
  <si>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</si>
  <si>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</si>
  <si>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</si>
  <si>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</si>
  <si>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</si>
  <si>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</si>
  <si>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</si>
  <si>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</si>
  <si>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</si>
  <si>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</si>
  <si>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</si>
  <si>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</si>
  <si>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</si>
  <si>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</si>
  <si>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</si>
  <si>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</si>
  <si>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</si>
  <si>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</si>
  <si>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</si>
  <si>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</si>
  <si>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</si>
  <si>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</si>
  <si>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</si>
  <si>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</si>
  <si>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</si>
  <si>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</si>
  <si>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</si>
  <si>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</si>
  <si>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</si>
  <si>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</si>
  <si>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</si>
  <si>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</si>
  <si>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</si>
  <si>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</si>
  <si>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</si>
  <si>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</si>
  <si>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</si>
  <si>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</si>
  <si>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</si>
  <si>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</si>
  <si>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</si>
  <si>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</si>
  <si>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</si>
  <si>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</si>
  <si>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</si>
  <si>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</si>
  <si>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</si>
  <si>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6"                                                                                                            Л.И. Никашина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</si>
  <si>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</si>
  <si>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</si>
  <si>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</si>
  <si>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</si>
  <si>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</si>
  <si>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</si>
  <si>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 </t>
    </r>
    <r>
      <rPr>
        <b/>
        <sz val="12"/>
        <color indexed="10"/>
        <rFont val="Times New Roman"/>
        <family val="1"/>
      </rPr>
      <t>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</si>
  <si>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</si>
  <si>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</si>
  <si>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</si>
  <si>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</si>
  <si>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</si>
  <si>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</si>
  <si>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</si>
  <si>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</si>
  <si>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</si>
  <si>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</si>
  <si>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</si>
  <si>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</si>
  <si>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</si>
  <si>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</si>
  <si>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</si>
  <si>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</si>
  <si>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</si>
  <si>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</si>
  <si>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</si>
  <si>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</si>
  <si>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</si>
  <si>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</si>
  <si>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</si>
  <si>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</si>
  <si>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228/6 от 28.03.2008 г., заключенного между ООО "ОЖКС №6" 
и собственниками многоквартирного дома
по адресу:  пр. Ленина, 115</t>
  </si>
  <si>
    <t>ОТЧЕТ
за  2010 г. о выполненнии условий  договора управления МКД 
№ 228/6 от 28.03.2008 г., заключенного между ООО "ОЖКС №6" 
и собственниками многоквартирного дома
по адресу:  пр. Ленина, 115</t>
  </si>
  <si>
    <t>ОТЧЕТ
по  договору управления МКД 
№ 228/6 от 28.03.2008 г., заключенного между ООО "ОЖКС №6" 
и собственниками многоквартирного дома
по адресу:  пр. Ленина, 115</t>
  </si>
  <si>
    <t xml:space="preserve">                 Представитель собственников  - старший по дому Горелов И.Н,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</si>
  <si>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>Смета 
расходов и доходов на  2011 г.
согласно договора управления МКД 
№228/6 от 28.03.2008 г., заключенного между ООО "ОЖКС №6" 
и собственниками многоквартирного дома
по адресу:  пр. Ленина, 115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</si>
  <si>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</si>
  <si>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</si>
  <si>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</si>
  <si>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</si>
  <si>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</si>
  <si>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</si>
  <si>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</si>
  <si>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</si>
  <si>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</si>
  <si>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ОТЧЕТ
за  2011 г. о выполненнии условий  договора управления МКД 
№ 228/6 от 28.03.2008 г., заключенного между ООО "ОЖКС №6" 
и собственниками многоквартирного дома
по адресу:  пр. Ленина, 115</t>
  </si>
  <si>
    <t xml:space="preserve">                 Представитель собственников  - старший по дому____________________________,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</si>
  <si>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</si>
  <si>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__________________________</t>
  </si>
  <si>
    <t xml:space="preserve">Директор ООО "ОЖКС № 6"                                                                          Л.И. Никашина                               </t>
  </si>
  <si>
    <t>Смета 
расходов и доходов на  2012 г.
согласно договора управления МКД 
№228/6 от 28.03.2008 г., заключенного между ООО "ОЖКС №6" 
и собственниками многоквартирного дома
по адресу:  пр. Ленина, 115</t>
  </si>
  <si>
    <t xml:space="preserve"> Текущий ремонт общего имущества </t>
  </si>
  <si>
    <t xml:space="preserve">Капитальный ремонт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</si>
  <si>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</si>
  <si>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                                                                                  на оказание услуг и  выполнение работ по содержанию,                                                      текущему и капитальному ремонту общего имущества                                                                 
 МКД № ___ от "____"___________2012г.</t>
  </si>
  <si>
    <t>Расчет стоимости договора и тарифа 1 м2 на 2012г.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</si>
  <si>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</si>
  <si>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</si>
  <si>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</si>
  <si>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</si>
  <si>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</si>
  <si>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</si>
  <si>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</si>
  <si>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</si>
  <si>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</si>
  <si>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</si>
  <si>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Тариф с 1 сентября 2012 г. - 11,21 руб., капитальный ремонт - 0,80 руб.</t>
  </si>
  <si>
    <t>Тариф 
на 1 кв.м. сентябрь-декабрь 2012г.
руб.</t>
  </si>
  <si>
    <t>Стоимость работ сентябрь-декабрь 2012г.             руб.</t>
  </si>
  <si>
    <t>5=гр.4*Sдома*4мес.</t>
  </si>
  <si>
    <t>ОТЧЕТ
с 01.01.12г. по 31.08.12г.  о выполненнии условий  договора управления МКД 
№ 228/6 от 28.03.2008 г., заключенного между ООО "ОЖКС №6" 
и собственниками многоквартирного дома
по адресу:  пр. Ленина, 115</t>
  </si>
  <si>
    <t xml:space="preserve">                 Представитель собственников  - старший по дому____________________________,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01.01.12г. по 31.08.12г. 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</si>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</sst>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4" fontId="10" fillId="0" borderId="15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3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34" xfId="0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F28" sqref="F28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25390625" style="0" customWidth="1"/>
    <col min="5" max="5" width="12.375" style="0" customWidth="1"/>
    <col min="6" max="6" width="9.625" style="0" bestFit="1" customWidth="1"/>
  </cols>
  <sheetData>
    <row r="1" spans="1:4" ht="104.25" customHeight="1">
      <c r="A1" s="179" t="s">
        <v>87</v>
      </c>
      <c r="B1" s="180"/>
      <c r="C1" s="180"/>
      <c r="D1" s="180"/>
    </row>
    <row r="2" spans="1:5" ht="80.25" customHeight="1">
      <c r="A2" s="181" t="s">
        <v>88</v>
      </c>
      <c r="B2" s="182"/>
      <c r="C2" s="182"/>
      <c r="D2" s="182"/>
      <c r="E2" t="s">
        <v>80</v>
      </c>
    </row>
    <row r="3" spans="1:5" ht="36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2705.3</v>
      </c>
      <c r="E5" s="58">
        <v>2705.3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193662.92</v>
      </c>
      <c r="E9" s="58">
        <v>193662.92</v>
      </c>
    </row>
    <row r="10" spans="1:5" ht="16.5" customHeight="1">
      <c r="A10" s="61"/>
      <c r="B10" s="34" t="s">
        <v>108</v>
      </c>
      <c r="C10" s="49" t="s">
        <v>107</v>
      </c>
      <c r="D10" s="58">
        <v>168806.55</v>
      </c>
      <c r="E10" s="58">
        <v>168806.55</v>
      </c>
    </row>
    <row r="11" spans="1:5" ht="15.75">
      <c r="A11" s="61"/>
      <c r="B11" s="56" t="s">
        <v>109</v>
      </c>
      <c r="C11" s="57" t="s">
        <v>107</v>
      </c>
      <c r="D11" s="62">
        <f>D9-D10</f>
        <v>24856.370000000024</v>
      </c>
      <c r="E11" s="62">
        <f>E9-E10</f>
        <v>24856.370000000024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9944.14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9195.16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748.9799999999996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5812.27</v>
      </c>
      <c r="E17" s="58">
        <v>5812.27</v>
      </c>
    </row>
    <row r="18" spans="1:5" ht="15.75" customHeight="1">
      <c r="A18" s="61"/>
      <c r="B18" s="34" t="s">
        <v>108</v>
      </c>
      <c r="C18" s="49" t="s">
        <v>107</v>
      </c>
      <c r="D18" s="58">
        <v>4559.74</v>
      </c>
      <c r="E18" s="58">
        <v>4559.74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1252.5300000000007</v>
      </c>
      <c r="E19" s="62">
        <f>E17-E18</f>
        <v>1252.5300000000007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209419.33</v>
      </c>
      <c r="E20" s="62">
        <f>E9+E13+E17</f>
        <v>199475.19</v>
      </c>
    </row>
    <row r="21" spans="1:5" ht="15.75">
      <c r="A21" s="61"/>
      <c r="B21" s="56" t="s">
        <v>115</v>
      </c>
      <c r="C21" s="49" t="s">
        <v>107</v>
      </c>
      <c r="D21" s="62">
        <f>D11+D15+D19</f>
        <v>26857.880000000026</v>
      </c>
      <c r="E21" s="62">
        <f>E11+E15+E19</f>
        <v>26108.900000000023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21302.9212</v>
      </c>
      <c r="E23" s="62">
        <f>E9*0.11</f>
        <v>21302.9212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135564.044</v>
      </c>
      <c r="E24" s="62">
        <f>E9*0.7</f>
        <v>135564.044</v>
      </c>
      <c r="F24" t="s">
        <v>80</v>
      </c>
    </row>
    <row r="25" spans="1:5" ht="19.5" customHeight="1">
      <c r="A25" s="64" t="s">
        <v>122</v>
      </c>
      <c r="B25" s="56" t="s">
        <v>123</v>
      </c>
      <c r="C25" s="57" t="s">
        <v>107</v>
      </c>
      <c r="D25" s="66">
        <v>75910</v>
      </c>
      <c r="E25" s="66">
        <v>75910</v>
      </c>
    </row>
    <row r="26" spans="1:5" ht="19.5" customHeight="1" hidden="1">
      <c r="A26" s="67" t="s">
        <v>124</v>
      </c>
      <c r="B26" s="56" t="s">
        <v>125</v>
      </c>
      <c r="C26" s="57"/>
      <c r="D26" s="66">
        <v>0</v>
      </c>
      <c r="E26" s="66">
        <v>0</v>
      </c>
    </row>
    <row r="27" spans="1:5" ht="17.25" customHeight="1">
      <c r="A27" s="61"/>
      <c r="B27" s="56" t="s">
        <v>126</v>
      </c>
      <c r="C27" s="57" t="s">
        <v>107</v>
      </c>
      <c r="D27" s="62">
        <f>D23+D24+D25+D26</f>
        <v>232776.9652</v>
      </c>
      <c r="E27" s="62">
        <f>E23+E24+E25+E26</f>
        <v>232776.9652</v>
      </c>
    </row>
    <row r="28" spans="1:6" ht="17.25" customHeight="1">
      <c r="A28" s="60" t="s">
        <v>62</v>
      </c>
      <c r="B28" s="56" t="s">
        <v>127</v>
      </c>
      <c r="C28" s="49" t="s">
        <v>107</v>
      </c>
      <c r="D28" s="58">
        <f>D20-D27</f>
        <v>-23357.63520000002</v>
      </c>
      <c r="E28" s="58">
        <f>E20-E27</f>
        <v>-33301.775200000004</v>
      </c>
      <c r="F28" s="124"/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-50215.515200000045</v>
      </c>
      <c r="E29" s="58">
        <f>E28-E21</f>
        <v>-59410.67520000003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83" t="s">
        <v>85</v>
      </c>
      <c r="C34" s="183"/>
      <c r="D34" s="73"/>
    </row>
    <row r="35" spans="2:4" ht="17.25" customHeight="1">
      <c r="B35" s="184" t="s">
        <v>130</v>
      </c>
      <c r="C35" s="184"/>
      <c r="D35" s="184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H37" sqref="H3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79" t="s">
        <v>194</v>
      </c>
      <c r="B1" s="179"/>
      <c r="C1" s="179"/>
      <c r="D1" s="179"/>
      <c r="E1" s="179"/>
      <c r="F1" s="179"/>
      <c r="G1" s="179"/>
      <c r="H1" s="179"/>
    </row>
    <row r="2" spans="1:8" ht="63" customHeight="1">
      <c r="A2" s="188" t="s">
        <v>83</v>
      </c>
      <c r="B2" s="188"/>
      <c r="C2" s="188"/>
      <c r="D2" s="188"/>
      <c r="E2" s="188"/>
      <c r="F2" s="188"/>
      <c r="G2" s="188"/>
      <c r="H2" s="188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2705.3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94"/>
      <c r="C7" s="194"/>
      <c r="D7" s="194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5" t="s">
        <v>65</v>
      </c>
      <c r="C8" s="196"/>
      <c r="D8" s="196"/>
      <c r="E8" s="196"/>
      <c r="F8" s="197"/>
      <c r="G8" s="15"/>
      <c r="H8" s="16"/>
    </row>
    <row r="9" spans="1:8" ht="15.75">
      <c r="A9" s="22"/>
      <c r="B9" s="191" t="s">
        <v>66</v>
      </c>
      <c r="C9" s="191"/>
      <c r="D9" s="191"/>
      <c r="E9" s="191"/>
      <c r="F9" s="191"/>
      <c r="G9" s="15"/>
      <c r="H9" s="30">
        <v>33982.61</v>
      </c>
    </row>
    <row r="10" spans="1:8" ht="15.75">
      <c r="A10" s="22">
        <v>1</v>
      </c>
      <c r="B10" s="190" t="s">
        <v>63</v>
      </c>
      <c r="C10" s="190"/>
      <c r="D10" s="190"/>
      <c r="E10" s="190"/>
      <c r="F10" s="190"/>
      <c r="G10" s="15"/>
      <c r="H10" s="34">
        <v>281123.45</v>
      </c>
    </row>
    <row r="11" spans="1:8" ht="15.75">
      <c r="A11" s="22"/>
      <c r="B11" s="190" t="s">
        <v>67</v>
      </c>
      <c r="C11" s="190"/>
      <c r="D11" s="190"/>
      <c r="E11" s="190"/>
      <c r="F11" s="190"/>
      <c r="G11" s="15"/>
      <c r="H11" s="40">
        <f>H10*0.9</f>
        <v>253011.105</v>
      </c>
    </row>
    <row r="12" spans="1:8" ht="15.75" customHeight="1">
      <c r="A12" s="22"/>
      <c r="B12" s="190" t="s">
        <v>68</v>
      </c>
      <c r="C12" s="190"/>
      <c r="D12" s="190"/>
      <c r="E12" s="190"/>
      <c r="F12" s="190"/>
      <c r="G12" s="15"/>
      <c r="H12" s="40">
        <f>H10-H11</f>
        <v>28112.345</v>
      </c>
    </row>
    <row r="13" spans="1:8" ht="15.75" customHeight="1">
      <c r="A13" s="22">
        <v>2</v>
      </c>
      <c r="B13" s="190" t="s">
        <v>64</v>
      </c>
      <c r="C13" s="190"/>
      <c r="D13" s="190"/>
      <c r="E13" s="190"/>
      <c r="F13" s="190"/>
      <c r="G13" s="15"/>
      <c r="H13" s="34">
        <v>273365.22</v>
      </c>
    </row>
    <row r="14" spans="1:8" ht="15.75" customHeight="1">
      <c r="A14" s="22">
        <v>3</v>
      </c>
      <c r="B14" s="190" t="s">
        <v>69</v>
      </c>
      <c r="C14" s="190"/>
      <c r="D14" s="190"/>
      <c r="E14" s="190"/>
      <c r="F14" s="190"/>
      <c r="G14" s="15"/>
      <c r="H14" s="40">
        <f>H10-H13</f>
        <v>7758.23000000004</v>
      </c>
    </row>
    <row r="15" spans="1:8" ht="15.75" customHeight="1">
      <c r="A15" s="22">
        <v>4</v>
      </c>
      <c r="B15" s="191" t="s">
        <v>70</v>
      </c>
      <c r="C15" s="191"/>
      <c r="D15" s="191"/>
      <c r="E15" s="191"/>
      <c r="F15" s="191"/>
      <c r="G15" s="15"/>
      <c r="H15" s="41">
        <f>H9+H10-H13</f>
        <v>41740.840000000026</v>
      </c>
    </row>
    <row r="16" spans="1:8" ht="18.75">
      <c r="A16" s="22">
        <v>5</v>
      </c>
      <c r="B16" s="192" t="s">
        <v>74</v>
      </c>
      <c r="C16" s="192"/>
      <c r="D16" s="192"/>
      <c r="E16" s="192"/>
      <c r="F16" s="192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93" t="s">
        <v>18</v>
      </c>
      <c r="C18" s="193"/>
      <c r="D18" s="193"/>
      <c r="E18" s="6" t="s">
        <v>32</v>
      </c>
      <c r="F18" s="6" t="s">
        <v>24</v>
      </c>
      <c r="G18" s="12">
        <v>0.9</v>
      </c>
      <c r="H18" s="44">
        <f>ROUND(G18*$E$3*12,2)</f>
        <v>29217.24</v>
      </c>
    </row>
    <row r="19" spans="1:8" ht="15.75">
      <c r="A19" s="29" t="s">
        <v>42</v>
      </c>
      <c r="B19" s="193" t="s">
        <v>17</v>
      </c>
      <c r="C19" s="193"/>
      <c r="D19" s="193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8440.54</v>
      </c>
    </row>
    <row r="20" spans="1:8" ht="15.75">
      <c r="A20" s="28" t="s">
        <v>43</v>
      </c>
      <c r="B20" s="189" t="s">
        <v>23</v>
      </c>
      <c r="C20" s="189"/>
      <c r="D20" s="189"/>
      <c r="E20" s="7" t="s">
        <v>8</v>
      </c>
      <c r="F20" s="7" t="s">
        <v>20</v>
      </c>
      <c r="G20" s="12">
        <v>0.32</v>
      </c>
      <c r="H20" s="44">
        <f t="shared" si="0"/>
        <v>10388.35</v>
      </c>
    </row>
    <row r="21" spans="1:8" ht="33" customHeight="1">
      <c r="A21" s="29" t="s">
        <v>44</v>
      </c>
      <c r="B21" s="198" t="s">
        <v>31</v>
      </c>
      <c r="C21" s="198"/>
      <c r="D21" s="198"/>
      <c r="E21" s="8" t="s">
        <v>9</v>
      </c>
      <c r="F21" s="8" t="s">
        <v>10</v>
      </c>
      <c r="G21" s="12">
        <v>0.46</v>
      </c>
      <c r="H21" s="44">
        <f t="shared" si="0"/>
        <v>14933.26</v>
      </c>
    </row>
    <row r="22" spans="1:8" ht="63">
      <c r="A22" s="28" t="s">
        <v>47</v>
      </c>
      <c r="B22" s="189" t="s">
        <v>27</v>
      </c>
      <c r="C22" s="189"/>
      <c r="D22" s="189"/>
      <c r="E22" s="7" t="s">
        <v>34</v>
      </c>
      <c r="F22" s="7" t="s">
        <v>25</v>
      </c>
      <c r="G22" s="12">
        <v>0.11</v>
      </c>
      <c r="H22" s="44">
        <f t="shared" si="0"/>
        <v>3571</v>
      </c>
    </row>
    <row r="23" spans="1:8" ht="31.5">
      <c r="A23" s="29" t="s">
        <v>45</v>
      </c>
      <c r="B23" s="189" t="s">
        <v>11</v>
      </c>
      <c r="C23" s="189"/>
      <c r="D23" s="189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89" t="s">
        <v>26</v>
      </c>
      <c r="C24" s="202"/>
      <c r="D24" s="202"/>
      <c r="E24" s="9" t="s">
        <v>13</v>
      </c>
      <c r="F24" s="9" t="s">
        <v>14</v>
      </c>
      <c r="G24" s="12">
        <v>0.04</v>
      </c>
      <c r="H24" s="44">
        <f t="shared" si="0"/>
        <v>1298.54</v>
      </c>
    </row>
    <row r="25" spans="1:8" ht="36.75" customHeight="1">
      <c r="A25" s="29" t="s">
        <v>48</v>
      </c>
      <c r="B25" s="199" t="s">
        <v>77</v>
      </c>
      <c r="C25" s="200"/>
      <c r="D25" s="201"/>
      <c r="E25" s="9" t="s">
        <v>13</v>
      </c>
      <c r="F25" s="38" t="s">
        <v>81</v>
      </c>
      <c r="G25" s="12">
        <v>0.22</v>
      </c>
      <c r="H25" s="44">
        <f t="shared" si="0"/>
        <v>7141.99</v>
      </c>
    </row>
    <row r="26" spans="1:8" ht="31.5">
      <c r="A26" s="28" t="s">
        <v>49</v>
      </c>
      <c r="B26" s="189" t="s">
        <v>35</v>
      </c>
      <c r="C26" s="189"/>
      <c r="D26" s="189"/>
      <c r="E26" s="6" t="s">
        <v>36</v>
      </c>
      <c r="F26" s="39" t="s">
        <v>81</v>
      </c>
      <c r="G26" s="12">
        <v>2.5</v>
      </c>
      <c r="H26" s="44">
        <f t="shared" si="0"/>
        <v>81159</v>
      </c>
    </row>
    <row r="27" spans="1:8" ht="31.5">
      <c r="A27" s="29" t="s">
        <v>50</v>
      </c>
      <c r="B27" s="193" t="s">
        <v>15</v>
      </c>
      <c r="C27" s="193"/>
      <c r="D27" s="193"/>
      <c r="E27" s="6" t="s">
        <v>36</v>
      </c>
      <c r="F27" s="39" t="s">
        <v>81</v>
      </c>
      <c r="G27" s="12">
        <v>0.38</v>
      </c>
      <c r="H27" s="44">
        <f t="shared" si="0"/>
        <v>12336.17</v>
      </c>
    </row>
    <row r="28" spans="1:8" ht="31.5">
      <c r="A28" s="28" t="s">
        <v>51</v>
      </c>
      <c r="B28" s="208" t="s">
        <v>37</v>
      </c>
      <c r="C28" s="173"/>
      <c r="D28" s="173"/>
      <c r="E28" s="6" t="s">
        <v>36</v>
      </c>
      <c r="F28" s="39" t="s">
        <v>81</v>
      </c>
      <c r="G28" s="36">
        <f>1.82-G29-G30</f>
        <v>1.82</v>
      </c>
      <c r="H28" s="44">
        <f t="shared" si="0"/>
        <v>59083.75</v>
      </c>
    </row>
    <row r="29" spans="1:8" ht="31.5">
      <c r="A29" s="29" t="s">
        <v>52</v>
      </c>
      <c r="B29" s="189" t="s">
        <v>28</v>
      </c>
      <c r="C29" s="189"/>
      <c r="D29" s="189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89" t="s">
        <v>29</v>
      </c>
      <c r="C30" s="189"/>
      <c r="D30" s="189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202" t="s">
        <v>21</v>
      </c>
      <c r="C31" s="202"/>
      <c r="D31" s="202"/>
      <c r="E31" s="6" t="s">
        <v>36</v>
      </c>
      <c r="F31" s="39" t="s">
        <v>81</v>
      </c>
      <c r="G31" s="9">
        <v>0.88</v>
      </c>
      <c r="H31" s="44">
        <f t="shared" si="0"/>
        <v>28567.97</v>
      </c>
    </row>
    <row r="32" spans="1:8" ht="15.75">
      <c r="A32" s="22" t="s">
        <v>55</v>
      </c>
      <c r="B32" s="207" t="s">
        <v>30</v>
      </c>
      <c r="C32" s="207"/>
      <c r="D32" s="207"/>
      <c r="E32" s="14"/>
      <c r="F32" s="39"/>
      <c r="G32" s="20">
        <f>SUM(G18:G31)</f>
        <v>7.890000000000001</v>
      </c>
      <c r="H32" s="45">
        <f>SUM(H18:H31)</f>
        <v>256137.81</v>
      </c>
    </row>
    <row r="33" spans="1:8" ht="15.75">
      <c r="A33" s="22" t="s">
        <v>56</v>
      </c>
      <c r="B33" s="191" t="s">
        <v>38</v>
      </c>
      <c r="C33" s="202"/>
      <c r="D33" s="202"/>
      <c r="E33" s="14"/>
      <c r="F33" s="39" t="s">
        <v>81</v>
      </c>
      <c r="G33" s="23">
        <f>H33/E3/12</f>
        <v>4.105829298044578</v>
      </c>
      <c r="H33" s="24">
        <v>133290</v>
      </c>
    </row>
    <row r="34" spans="1:8" ht="18.75">
      <c r="A34" s="25" t="s">
        <v>57</v>
      </c>
      <c r="B34" s="203" t="s">
        <v>76</v>
      </c>
      <c r="C34" s="203"/>
      <c r="D34" s="203"/>
      <c r="E34" s="203"/>
      <c r="F34" s="203"/>
      <c r="G34" s="20">
        <f>SUM(G32:G33)</f>
        <v>11.99582929804458</v>
      </c>
      <c r="H34" s="46">
        <f>SUM(H32:H33)</f>
        <v>389427.81</v>
      </c>
    </row>
    <row r="35" spans="1:8" ht="18.75">
      <c r="A35" s="22" t="s">
        <v>62</v>
      </c>
      <c r="B35" s="204" t="s">
        <v>39</v>
      </c>
      <c r="C35" s="205"/>
      <c r="D35" s="205"/>
      <c r="E35" s="205"/>
      <c r="F35" s="205"/>
      <c r="G35" s="206"/>
      <c r="H35" s="31"/>
    </row>
    <row r="36" spans="1:8" ht="15.75" customHeight="1">
      <c r="A36" s="22" t="s">
        <v>58</v>
      </c>
      <c r="B36" s="185" t="s">
        <v>71</v>
      </c>
      <c r="C36" s="186"/>
      <c r="D36" s="186"/>
      <c r="E36" s="186"/>
      <c r="F36" s="186"/>
      <c r="G36" s="187"/>
      <c r="H36" s="32">
        <v>-59410.68</v>
      </c>
    </row>
    <row r="37" spans="1:8" ht="15.75" customHeight="1">
      <c r="A37" s="22" t="s">
        <v>59</v>
      </c>
      <c r="B37" s="185" t="s">
        <v>72</v>
      </c>
      <c r="C37" s="186"/>
      <c r="D37" s="186"/>
      <c r="E37" s="186"/>
      <c r="F37" s="186"/>
      <c r="G37" s="187"/>
      <c r="H37" s="47">
        <f>H13-H34</f>
        <v>-116062.59000000003</v>
      </c>
    </row>
    <row r="38" spans="1:8" ht="15.75" customHeight="1">
      <c r="A38" s="22" t="s">
        <v>60</v>
      </c>
      <c r="B38" s="185" t="s">
        <v>73</v>
      </c>
      <c r="C38" s="186"/>
      <c r="D38" s="186"/>
      <c r="E38" s="186"/>
      <c r="F38" s="186"/>
      <c r="G38" s="187"/>
      <c r="H38" s="47">
        <f>H36+H37</f>
        <v>-175473.27000000002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85</v>
      </c>
      <c r="C45" s="48"/>
      <c r="D45" s="48"/>
      <c r="E45" s="48"/>
      <c r="F45" s="48"/>
    </row>
    <row r="46" spans="2:4" ht="15.75" customHeight="1">
      <c r="B46" s="184" t="s">
        <v>86</v>
      </c>
      <c r="C46" s="184"/>
      <c r="D46" s="184"/>
    </row>
  </sheetData>
  <sheetProtection/>
  <mergeCells count="34"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  <mergeCell ref="B20:D20"/>
    <mergeCell ref="B27:D27"/>
    <mergeCell ref="B21:D21"/>
    <mergeCell ref="B22:D22"/>
    <mergeCell ref="B23:D23"/>
    <mergeCell ref="B25:D25"/>
    <mergeCell ref="B26:D26"/>
    <mergeCell ref="B19:D19"/>
    <mergeCell ref="B7:D7"/>
    <mergeCell ref="B12:F12"/>
    <mergeCell ref="B8:F8"/>
    <mergeCell ref="B9:F9"/>
    <mergeCell ref="B10:F10"/>
    <mergeCell ref="B11:F11"/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J2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9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195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174" t="s">
        <v>197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2705.3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175" t="s">
        <v>137</v>
      </c>
      <c r="C7" s="176"/>
      <c r="D7" s="177"/>
      <c r="E7" s="11" t="s">
        <v>6</v>
      </c>
      <c r="F7" s="11" t="s">
        <v>7</v>
      </c>
      <c r="G7" s="86" t="s">
        <v>22</v>
      </c>
      <c r="H7" s="178" t="s">
        <v>138</v>
      </c>
      <c r="I7" s="168"/>
      <c r="J7" s="169"/>
    </row>
    <row r="8" spans="1:10" ht="15.75">
      <c r="A8" s="22">
        <v>1</v>
      </c>
      <c r="B8" s="195"/>
      <c r="C8" s="196"/>
      <c r="D8" s="196"/>
      <c r="E8" s="196"/>
      <c r="F8" s="197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5" t="s">
        <v>142</v>
      </c>
      <c r="C9" s="196"/>
      <c r="D9" s="196"/>
      <c r="E9" s="196"/>
      <c r="F9" s="197"/>
      <c r="G9" s="90"/>
      <c r="H9" s="90"/>
      <c r="I9" s="57"/>
      <c r="J9" s="89"/>
    </row>
    <row r="10" spans="1:10" ht="15.75">
      <c r="A10" s="91"/>
      <c r="B10" s="190" t="s">
        <v>143</v>
      </c>
      <c r="C10" s="190"/>
      <c r="D10" s="190"/>
      <c r="E10" s="190"/>
      <c r="F10" s="190"/>
      <c r="G10" s="15"/>
      <c r="H10" s="92">
        <v>266166.34</v>
      </c>
      <c r="I10" s="77"/>
      <c r="J10" s="58">
        <f>H10+I10</f>
        <v>266166.34</v>
      </c>
    </row>
    <row r="11" spans="1:10" ht="15.75">
      <c r="A11" s="91"/>
      <c r="B11" s="190" t="s">
        <v>144</v>
      </c>
      <c r="C11" s="190"/>
      <c r="D11" s="190"/>
      <c r="E11" s="190"/>
      <c r="F11" s="190"/>
      <c r="G11" s="15"/>
      <c r="H11" s="16">
        <v>14692.65</v>
      </c>
      <c r="I11" s="77"/>
      <c r="J11" s="58">
        <f>H11+I11</f>
        <v>14692.65</v>
      </c>
    </row>
    <row r="12" spans="1:10" ht="15.75">
      <c r="A12" s="22"/>
      <c r="B12" s="190" t="s">
        <v>145</v>
      </c>
      <c r="C12" s="190"/>
      <c r="D12" s="190"/>
      <c r="E12" s="190"/>
      <c r="F12" s="190"/>
      <c r="G12" s="15"/>
      <c r="H12" s="92"/>
      <c r="I12" s="77"/>
      <c r="J12" s="58">
        <f>H12+I12</f>
        <v>0</v>
      </c>
    </row>
    <row r="13" spans="1:10" ht="15.75">
      <c r="A13" s="22"/>
      <c r="B13" s="190" t="s">
        <v>146</v>
      </c>
      <c r="C13" s="190"/>
      <c r="D13" s="190"/>
      <c r="E13" s="190"/>
      <c r="F13" s="190"/>
      <c r="G13" s="15"/>
      <c r="H13" s="92"/>
      <c r="I13" s="93"/>
      <c r="J13" s="58">
        <f>H13+I13</f>
        <v>0</v>
      </c>
    </row>
    <row r="14" spans="1:10" ht="15.75">
      <c r="A14" s="22"/>
      <c r="B14" s="191" t="s">
        <v>147</v>
      </c>
      <c r="C14" s="191"/>
      <c r="D14" s="191"/>
      <c r="E14" s="191"/>
      <c r="F14" s="191"/>
      <c r="G14" s="15"/>
      <c r="H14" s="41">
        <f>SUM(H10:H12)</f>
        <v>280858.99000000005</v>
      </c>
      <c r="I14" s="94">
        <f>SUM(I10:I12)</f>
        <v>0</v>
      </c>
      <c r="J14" s="95">
        <f>SUM(J10:J13)</f>
        <v>280858.99000000005</v>
      </c>
    </row>
    <row r="15" spans="1:10" ht="18.75">
      <c r="A15" s="22">
        <v>2</v>
      </c>
      <c r="B15" s="192" t="s">
        <v>74</v>
      </c>
      <c r="C15" s="192"/>
      <c r="D15" s="192"/>
      <c r="E15" s="192"/>
      <c r="F15" s="192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172" t="s">
        <v>134</v>
      </c>
      <c r="C17" s="172"/>
      <c r="D17" s="172"/>
      <c r="E17" s="97" t="s">
        <v>32</v>
      </c>
      <c r="F17" s="80" t="s">
        <v>24</v>
      </c>
      <c r="G17" s="81">
        <v>0.92</v>
      </c>
      <c r="H17" s="98">
        <f>ROUND(G17*$E$3*12,2)</f>
        <v>29866.51</v>
      </c>
      <c r="I17" s="99">
        <f>$I$12*0.08</f>
        <v>0</v>
      </c>
      <c r="J17" s="100">
        <f>SUM(H17:I17)</f>
        <v>29866.51</v>
      </c>
    </row>
    <row r="18" spans="1:10" ht="17.25" customHeight="1">
      <c r="A18" s="22"/>
      <c r="B18" s="167" t="s">
        <v>17</v>
      </c>
      <c r="C18" s="167"/>
      <c r="D18" s="167"/>
      <c r="E18" s="97" t="s">
        <v>32</v>
      </c>
      <c r="F18" s="80" t="s">
        <v>19</v>
      </c>
      <c r="G18" s="81">
        <v>0.26</v>
      </c>
      <c r="H18" s="98">
        <f>ROUND(G18*$E$3*12,2)</f>
        <v>8440.54</v>
      </c>
      <c r="I18" s="99">
        <f>$I$12*0.02</f>
        <v>0</v>
      </c>
      <c r="J18" s="100">
        <f aca="true" t="shared" si="0" ref="J18:J37">SUM(H18:I18)</f>
        <v>8440.54</v>
      </c>
    </row>
    <row r="19" spans="1:10" ht="20.25" customHeight="1">
      <c r="A19" s="22"/>
      <c r="B19" s="170" t="s">
        <v>23</v>
      </c>
      <c r="C19" s="170"/>
      <c r="D19" s="170"/>
      <c r="E19" s="101" t="s">
        <v>149</v>
      </c>
      <c r="F19" s="82" t="s">
        <v>20</v>
      </c>
      <c r="G19" s="81">
        <v>0.35</v>
      </c>
      <c r="H19" s="98">
        <f>J19-I19</f>
        <v>10149.28</v>
      </c>
      <c r="I19" s="99">
        <f>$I$12*0.07</f>
        <v>0</v>
      </c>
      <c r="J19" s="102">
        <v>10149.28</v>
      </c>
    </row>
    <row r="20" spans="1:10" ht="20.25" customHeight="1">
      <c r="A20" s="96"/>
      <c r="B20" s="172" t="s">
        <v>31</v>
      </c>
      <c r="C20" s="172"/>
      <c r="D20" s="172"/>
      <c r="E20" s="103" t="s">
        <v>9</v>
      </c>
      <c r="F20" s="83" t="s">
        <v>10</v>
      </c>
      <c r="G20" s="81">
        <v>0.46</v>
      </c>
      <c r="H20" s="98">
        <f>ROUND(G20*$E$3*12,2)</f>
        <v>14933.26</v>
      </c>
      <c r="I20" s="99">
        <f>$I$12*0.04</f>
        <v>0</v>
      </c>
      <c r="J20" s="100">
        <f t="shared" si="0"/>
        <v>14933.26</v>
      </c>
    </row>
    <row r="21" spans="1:10" ht="60.75" customHeight="1">
      <c r="A21" s="22"/>
      <c r="B21" s="170" t="s">
        <v>27</v>
      </c>
      <c r="C21" s="170"/>
      <c r="D21" s="170"/>
      <c r="E21" s="101" t="s">
        <v>150</v>
      </c>
      <c r="F21" s="82" t="s">
        <v>25</v>
      </c>
      <c r="G21" s="81">
        <v>0.11</v>
      </c>
      <c r="H21" s="98">
        <f>J21-I21</f>
        <v>3933.31</v>
      </c>
      <c r="I21" s="99">
        <f>$I$12*0.01</f>
        <v>0</v>
      </c>
      <c r="J21" s="102">
        <v>3933.31</v>
      </c>
    </row>
    <row r="22" spans="1:10" ht="20.25" customHeight="1">
      <c r="A22" s="96"/>
      <c r="B22" s="170" t="s">
        <v>11</v>
      </c>
      <c r="C22" s="170"/>
      <c r="D22" s="170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170" t="s">
        <v>26</v>
      </c>
      <c r="C23" s="171"/>
      <c r="D23" s="171"/>
      <c r="E23" s="104" t="s">
        <v>13</v>
      </c>
      <c r="F23" s="79" t="s">
        <v>14</v>
      </c>
      <c r="G23" s="81">
        <v>0.04</v>
      </c>
      <c r="H23" s="98">
        <f>J23-I23</f>
        <v>4273.37</v>
      </c>
      <c r="I23" s="99">
        <f>$I$12*0.003</f>
        <v>0</v>
      </c>
      <c r="J23" s="102">
        <v>4273.37</v>
      </c>
    </row>
    <row r="24" spans="1:10" ht="28.5" customHeight="1">
      <c r="A24" s="22"/>
      <c r="B24" s="170" t="s">
        <v>151</v>
      </c>
      <c r="C24" s="170"/>
      <c r="D24" s="170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60706.93</v>
      </c>
      <c r="I24" s="99">
        <f>$I$12*0.19</f>
        <v>0</v>
      </c>
      <c r="J24" s="100">
        <f t="shared" si="0"/>
        <v>60706.93</v>
      </c>
    </row>
    <row r="25" spans="1:10" ht="26.25" customHeight="1">
      <c r="A25" s="22"/>
      <c r="B25" s="167" t="s">
        <v>15</v>
      </c>
      <c r="C25" s="167"/>
      <c r="D25" s="167"/>
      <c r="E25" s="97" t="s">
        <v>36</v>
      </c>
      <c r="F25" s="39" t="s">
        <v>81</v>
      </c>
      <c r="G25" s="81">
        <v>0.38</v>
      </c>
      <c r="H25" s="105">
        <f>ROUND(G25*$E$3/8*7*12,2)</f>
        <v>10794.15</v>
      </c>
      <c r="I25" s="99">
        <v>0</v>
      </c>
      <c r="J25" s="100">
        <f t="shared" si="0"/>
        <v>10794.15</v>
      </c>
    </row>
    <row r="26" spans="1:10" ht="30" customHeight="1">
      <c r="A26" s="22"/>
      <c r="B26" s="215" t="s">
        <v>37</v>
      </c>
      <c r="C26" s="213"/>
      <c r="D26" s="214"/>
      <c r="E26" s="97" t="s">
        <v>36</v>
      </c>
      <c r="F26" s="39" t="s">
        <v>81</v>
      </c>
      <c r="G26" s="36">
        <f>2.97-G27-G28</f>
        <v>2.97</v>
      </c>
      <c r="H26" s="105">
        <f t="shared" si="1"/>
        <v>96416.89</v>
      </c>
      <c r="I26" s="106">
        <f>$I$12*0.22</f>
        <v>0</v>
      </c>
      <c r="J26" s="100">
        <f t="shared" si="0"/>
        <v>96416.89</v>
      </c>
    </row>
    <row r="27" spans="1:10" ht="26.25" customHeight="1">
      <c r="A27" s="96"/>
      <c r="B27" s="170" t="s">
        <v>152</v>
      </c>
      <c r="C27" s="170"/>
      <c r="D27" s="170"/>
      <c r="E27" s="97" t="s">
        <v>36</v>
      </c>
      <c r="F27" s="39" t="s">
        <v>81</v>
      </c>
      <c r="G27" s="36">
        <v>0</v>
      </c>
      <c r="H27" s="105">
        <f t="shared" si="1"/>
        <v>0</v>
      </c>
      <c r="I27" s="106"/>
      <c r="J27" s="100">
        <f t="shared" si="0"/>
        <v>0</v>
      </c>
    </row>
    <row r="28" spans="1:10" ht="17.25" customHeight="1">
      <c r="A28" s="22"/>
      <c r="B28" s="170" t="s">
        <v>153</v>
      </c>
      <c r="C28" s="170"/>
      <c r="D28" s="170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171" t="s">
        <v>21</v>
      </c>
      <c r="C29" s="171"/>
      <c r="D29" s="171"/>
      <c r="E29" s="101" t="s">
        <v>9</v>
      </c>
      <c r="F29" s="39" t="s">
        <v>81</v>
      </c>
      <c r="G29" s="79">
        <v>0.92</v>
      </c>
      <c r="H29" s="98">
        <f t="shared" si="1"/>
        <v>29866.51</v>
      </c>
      <c r="I29" s="99">
        <f>$I$12*0.1</f>
        <v>0</v>
      </c>
      <c r="J29" s="100">
        <f t="shared" si="0"/>
        <v>29866.51</v>
      </c>
    </row>
    <row r="30" spans="1:10" ht="21.75" customHeight="1">
      <c r="A30" s="22"/>
      <c r="B30" s="209" t="s">
        <v>154</v>
      </c>
      <c r="C30" s="210"/>
      <c r="D30" s="211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209" t="s">
        <v>155</v>
      </c>
      <c r="C31" s="210"/>
      <c r="D31" s="211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212"/>
      <c r="C32" s="213"/>
      <c r="D32" s="214"/>
      <c r="E32" s="101"/>
      <c r="F32" s="39"/>
      <c r="G32" s="79"/>
      <c r="H32" s="105"/>
      <c r="I32" s="93"/>
      <c r="J32" s="107"/>
    </row>
    <row r="33" spans="1:10" ht="15.75">
      <c r="A33" s="22"/>
      <c r="B33" s="212"/>
      <c r="C33" s="213"/>
      <c r="D33" s="214"/>
      <c r="E33" s="101"/>
      <c r="F33" s="39"/>
      <c r="G33" s="79"/>
      <c r="H33" s="105"/>
      <c r="I33" s="93"/>
      <c r="J33" s="107"/>
    </row>
    <row r="34" spans="1:10" ht="15.75">
      <c r="A34" s="22"/>
      <c r="B34" s="207" t="s">
        <v>30</v>
      </c>
      <c r="C34" s="207"/>
      <c r="D34" s="207"/>
      <c r="E34" s="14"/>
      <c r="F34" s="39"/>
      <c r="G34" s="20">
        <f>SUM(G17:G29)</f>
        <v>8.28</v>
      </c>
      <c r="H34" s="45">
        <f>SUM(H17:H33)</f>
        <v>269380.75</v>
      </c>
      <c r="I34" s="108">
        <f>SUM(I17:I33)</f>
        <v>0</v>
      </c>
      <c r="J34" s="45">
        <f>SUM(J17:J33)</f>
        <v>269380.75</v>
      </c>
    </row>
    <row r="35" spans="1:10" ht="15" customHeight="1">
      <c r="A35" s="22" t="s">
        <v>156</v>
      </c>
      <c r="B35" s="219" t="s">
        <v>157</v>
      </c>
      <c r="C35" s="220"/>
      <c r="D35" s="220"/>
      <c r="E35" s="221"/>
      <c r="F35" s="39" t="s">
        <v>81</v>
      </c>
      <c r="G35" s="23">
        <f>H35/E3/12</f>
        <v>1.5001416971623602</v>
      </c>
      <c r="H35" s="109">
        <v>48700</v>
      </c>
      <c r="I35" s="110"/>
      <c r="J35" s="95">
        <f t="shared" si="0"/>
        <v>48700</v>
      </c>
    </row>
    <row r="36" spans="1:10" ht="14.25" customHeight="1">
      <c r="A36" s="25"/>
      <c r="B36" s="217" t="s">
        <v>76</v>
      </c>
      <c r="C36" s="217"/>
      <c r="D36" s="217"/>
      <c r="E36" s="217"/>
      <c r="F36" s="217"/>
      <c r="G36" s="20">
        <f>SUM(G34:G35)</f>
        <v>9.78014169716236</v>
      </c>
      <c r="H36" s="46">
        <f>SUM(H34:H35)</f>
        <v>318080.75</v>
      </c>
      <c r="I36" s="111">
        <f>SUM(I34:I35)</f>
        <v>0</v>
      </c>
      <c r="J36" s="111">
        <f>SUM(J34:J35)</f>
        <v>318080.75</v>
      </c>
    </row>
    <row r="37" spans="1:10" ht="15.75">
      <c r="A37" s="22" t="s">
        <v>158</v>
      </c>
      <c r="B37" s="216" t="s">
        <v>159</v>
      </c>
      <c r="C37" s="216"/>
      <c r="D37" s="216"/>
      <c r="E37" s="216"/>
      <c r="F37" s="216"/>
      <c r="G37" s="23"/>
      <c r="H37" s="112">
        <v>177931</v>
      </c>
      <c r="I37" s="112">
        <v>0</v>
      </c>
      <c r="J37" s="113">
        <f t="shared" si="0"/>
        <v>177931</v>
      </c>
    </row>
    <row r="38" spans="1:10" ht="24.75" customHeight="1">
      <c r="A38" s="25"/>
      <c r="B38" s="217" t="s">
        <v>160</v>
      </c>
      <c r="C38" s="217"/>
      <c r="D38" s="217"/>
      <c r="E38" s="217"/>
      <c r="F38" s="217"/>
      <c r="G38" s="20">
        <f>SUM(G36:G37)</f>
        <v>9.78014169716236</v>
      </c>
      <c r="H38" s="46">
        <f>SUM(H36:H37)</f>
        <v>496011.75</v>
      </c>
      <c r="I38" s="111">
        <f>SUM(I36:I37)</f>
        <v>0</v>
      </c>
      <c r="J38" s="111">
        <f>SUM(J36:J37)</f>
        <v>496011.75</v>
      </c>
    </row>
    <row r="39" spans="1:10" ht="27" customHeight="1">
      <c r="A39" s="22">
        <v>3</v>
      </c>
      <c r="B39" s="185" t="s">
        <v>161</v>
      </c>
      <c r="C39" s="186"/>
      <c r="D39" s="186"/>
      <c r="E39" s="186"/>
      <c r="F39" s="186"/>
      <c r="G39" s="187"/>
      <c r="H39" s="98">
        <f>H14-H38</f>
        <v>-215152.75999999995</v>
      </c>
      <c r="I39" s="98">
        <f>I14-I38</f>
        <v>0</v>
      </c>
      <c r="J39" s="95">
        <f>J14-J38</f>
        <v>-215152.75999999995</v>
      </c>
    </row>
    <row r="40" spans="2:6" ht="15.75">
      <c r="B40" s="33"/>
      <c r="F40" s="33"/>
    </row>
    <row r="41" spans="2:9" ht="36" customHeight="1">
      <c r="B41" s="218" t="s">
        <v>162</v>
      </c>
      <c r="C41" s="218"/>
      <c r="D41" s="218"/>
      <c r="E41" s="218"/>
      <c r="F41" s="218"/>
      <c r="G41" s="218"/>
      <c r="H41" s="218"/>
      <c r="I41" s="218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10" ht="15.75">
      <c r="B44" s="48" t="s">
        <v>85</v>
      </c>
      <c r="C44" s="48"/>
      <c r="D44" s="48"/>
      <c r="E44" s="48"/>
      <c r="F44" s="48"/>
      <c r="J44"/>
    </row>
    <row r="45" spans="2:4" ht="15.75" customHeight="1">
      <c r="B45" s="184" t="s">
        <v>86</v>
      </c>
      <c r="C45" s="184"/>
      <c r="D45" s="184"/>
    </row>
  </sheetData>
  <sheetProtection/>
  <mergeCells count="37">
    <mergeCell ref="B33:D33"/>
    <mergeCell ref="B34:D34"/>
    <mergeCell ref="B35:E35"/>
    <mergeCell ref="B36:F36"/>
    <mergeCell ref="B45:D45"/>
    <mergeCell ref="B37:F37"/>
    <mergeCell ref="B38:F38"/>
    <mergeCell ref="B39:G39"/>
    <mergeCell ref="B41:I41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customWidth="1"/>
    <col min="7" max="7" width="4.00390625" style="0" hidden="1" customWidth="1"/>
    <col min="8" max="8" width="13.25390625" style="0" customWidth="1"/>
  </cols>
  <sheetData>
    <row r="1" spans="1:8" ht="132.75" customHeight="1">
      <c r="A1" s="179" t="s">
        <v>198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2705.3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9.75" customHeight="1">
      <c r="A6" s="74" t="s">
        <v>61</v>
      </c>
      <c r="B6" s="231" t="s">
        <v>137</v>
      </c>
      <c r="C6" s="232"/>
      <c r="D6" s="233"/>
      <c r="E6" s="75" t="s">
        <v>6</v>
      </c>
      <c r="F6" s="75" t="s">
        <v>7</v>
      </c>
      <c r="G6" s="125" t="s">
        <v>199</v>
      </c>
      <c r="H6" s="126" t="s">
        <v>131</v>
      </c>
    </row>
    <row r="7" spans="1:8" ht="15.75" customHeight="1">
      <c r="A7" s="76">
        <v>1</v>
      </c>
      <c r="B7" s="234" t="s">
        <v>132</v>
      </c>
      <c r="C7" s="234"/>
      <c r="D7" s="234"/>
      <c r="E7" s="234"/>
      <c r="F7" s="234"/>
      <c r="G7" s="77"/>
      <c r="H7" s="127"/>
    </row>
    <row r="8" spans="1:8" ht="15.75" customHeight="1">
      <c r="A8" s="76"/>
      <c r="B8" s="191" t="s">
        <v>200</v>
      </c>
      <c r="C8" s="191"/>
      <c r="D8" s="191"/>
      <c r="E8" s="191"/>
      <c r="F8" s="191"/>
      <c r="G8" s="23">
        <f>G30</f>
        <v>10.580000000000002</v>
      </c>
      <c r="H8" s="127">
        <f>ROUND($E$2*G8*12,0)</f>
        <v>343465</v>
      </c>
    </row>
    <row r="9" spans="1:8" ht="15.75" customHeight="1">
      <c r="A9" s="76"/>
      <c r="B9" s="222" t="s">
        <v>133</v>
      </c>
      <c r="C9" s="222"/>
      <c r="D9" s="222"/>
      <c r="E9" s="222"/>
      <c r="F9" s="222"/>
      <c r="G9" s="22">
        <v>0.76</v>
      </c>
      <c r="H9" s="127">
        <f>ROUND($E$2*G9*12,0)</f>
        <v>24672</v>
      </c>
    </row>
    <row r="10" spans="1:8" ht="18.75" customHeight="1">
      <c r="A10" s="76">
        <v>2</v>
      </c>
      <c r="B10" s="192" t="s">
        <v>74</v>
      </c>
      <c r="C10" s="192"/>
      <c r="D10" s="192"/>
      <c r="E10" s="192"/>
      <c r="F10" s="192"/>
      <c r="G10" s="79"/>
      <c r="H10" s="127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27"/>
    </row>
    <row r="12" spans="1:8" ht="15.75" customHeight="1">
      <c r="A12" s="128"/>
      <c r="B12" s="225" t="s">
        <v>201</v>
      </c>
      <c r="C12" s="225"/>
      <c r="D12" s="225"/>
      <c r="E12" s="97" t="s">
        <v>32</v>
      </c>
      <c r="F12" s="80" t="s">
        <v>24</v>
      </c>
      <c r="G12" s="81">
        <v>1.06</v>
      </c>
      <c r="H12" s="78">
        <f aca="true" t="shared" si="0" ref="H12:H30">ROUND($E$2*G12*12,0)</f>
        <v>34411</v>
      </c>
    </row>
    <row r="13" spans="1:8" ht="15.75" customHeight="1">
      <c r="A13" s="128"/>
      <c r="B13" s="225" t="s">
        <v>17</v>
      </c>
      <c r="C13" s="225"/>
      <c r="D13" s="225"/>
      <c r="E13" s="97" t="s">
        <v>32</v>
      </c>
      <c r="F13" s="80" t="s">
        <v>19</v>
      </c>
      <c r="G13" s="81">
        <v>0.28</v>
      </c>
      <c r="H13" s="78">
        <f t="shared" si="0"/>
        <v>9090</v>
      </c>
    </row>
    <row r="14" spans="1:8" ht="15.75" customHeight="1">
      <c r="A14" s="128"/>
      <c r="B14" s="223" t="s">
        <v>23</v>
      </c>
      <c r="C14" s="223"/>
      <c r="D14" s="223"/>
      <c r="E14" s="101" t="s">
        <v>149</v>
      </c>
      <c r="F14" s="82" t="s">
        <v>20</v>
      </c>
      <c r="G14" s="81">
        <v>0.39</v>
      </c>
      <c r="H14" s="78">
        <f t="shared" si="0"/>
        <v>12661</v>
      </c>
    </row>
    <row r="15" spans="1:8" ht="18.75" customHeight="1">
      <c r="A15" s="128"/>
      <c r="B15" s="226" t="s">
        <v>31</v>
      </c>
      <c r="C15" s="226"/>
      <c r="D15" s="226"/>
      <c r="E15" s="103" t="s">
        <v>9</v>
      </c>
      <c r="F15" s="83" t="s">
        <v>10</v>
      </c>
      <c r="G15" s="81">
        <v>0.51</v>
      </c>
      <c r="H15" s="78">
        <f t="shared" si="0"/>
        <v>16556</v>
      </c>
    </row>
    <row r="16" spans="1:8" ht="299.25">
      <c r="A16" s="128"/>
      <c r="B16" s="223" t="s">
        <v>27</v>
      </c>
      <c r="C16" s="223"/>
      <c r="D16" s="223"/>
      <c r="E16" s="101" t="s">
        <v>150</v>
      </c>
      <c r="F16" s="82" t="s">
        <v>25</v>
      </c>
      <c r="G16" s="81">
        <v>0.12</v>
      </c>
      <c r="H16" s="78">
        <f t="shared" si="0"/>
        <v>3896</v>
      </c>
    </row>
    <row r="17" spans="1:8" ht="31.5" customHeight="1">
      <c r="A17" s="128"/>
      <c r="B17" s="223" t="s">
        <v>11</v>
      </c>
      <c r="C17" s="223"/>
      <c r="D17" s="223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8"/>
      <c r="B18" s="223" t="s">
        <v>26</v>
      </c>
      <c r="C18" s="224"/>
      <c r="D18" s="224"/>
      <c r="E18" s="104" t="s">
        <v>13</v>
      </c>
      <c r="F18" s="79" t="s">
        <v>202</v>
      </c>
      <c r="G18" s="81">
        <v>0.05</v>
      </c>
      <c r="H18" s="78">
        <f t="shared" si="0"/>
        <v>1623</v>
      </c>
    </row>
    <row r="19" spans="1:8" ht="15.75" customHeight="1">
      <c r="A19" s="128"/>
      <c r="B19" s="223" t="s">
        <v>151</v>
      </c>
      <c r="C19" s="223"/>
      <c r="D19" s="223"/>
      <c r="E19" s="97" t="s">
        <v>36</v>
      </c>
      <c r="F19" s="82" t="s">
        <v>81</v>
      </c>
      <c r="G19" s="81">
        <v>2.15</v>
      </c>
      <c r="H19" s="78">
        <f t="shared" si="0"/>
        <v>69797</v>
      </c>
    </row>
    <row r="20" spans="1:8" ht="33" customHeight="1">
      <c r="A20" s="128"/>
      <c r="B20" s="225" t="s">
        <v>15</v>
      </c>
      <c r="C20" s="225"/>
      <c r="D20" s="225"/>
      <c r="E20" s="97" t="s">
        <v>135</v>
      </c>
      <c r="F20" s="82" t="s">
        <v>81</v>
      </c>
      <c r="G20" s="81">
        <v>0.44</v>
      </c>
      <c r="H20" s="78">
        <f t="shared" si="0"/>
        <v>14284</v>
      </c>
    </row>
    <row r="21" spans="1:8" ht="173.25">
      <c r="A21" s="128"/>
      <c r="B21" s="223" t="s">
        <v>37</v>
      </c>
      <c r="C21" s="224"/>
      <c r="D21" s="224"/>
      <c r="E21" s="97" t="s">
        <v>36</v>
      </c>
      <c r="F21" s="82" t="s">
        <v>81</v>
      </c>
      <c r="G21" s="81">
        <f>3.46-G22-G23</f>
        <v>3.46</v>
      </c>
      <c r="H21" s="78">
        <f t="shared" si="0"/>
        <v>112324</v>
      </c>
    </row>
    <row r="22" spans="1:8" ht="31.5" customHeight="1">
      <c r="A22" s="128"/>
      <c r="B22" s="223" t="s">
        <v>203</v>
      </c>
      <c r="C22" s="223"/>
      <c r="D22" s="223"/>
      <c r="E22" s="101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8"/>
      <c r="B23" s="223" t="s">
        <v>153</v>
      </c>
      <c r="C23" s="223"/>
      <c r="D23" s="223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8"/>
      <c r="B24" s="224" t="s">
        <v>21</v>
      </c>
      <c r="C24" s="224"/>
      <c r="D24" s="224"/>
      <c r="E24" s="97" t="s">
        <v>36</v>
      </c>
      <c r="F24" s="82" t="s">
        <v>81</v>
      </c>
      <c r="G24" s="81">
        <v>1.06</v>
      </c>
      <c r="H24" s="78">
        <f t="shared" si="0"/>
        <v>34411</v>
      </c>
    </row>
    <row r="25" spans="1:8" ht="15.75">
      <c r="A25" s="22"/>
      <c r="B25" s="209" t="s">
        <v>154</v>
      </c>
      <c r="C25" s="210"/>
      <c r="D25" s="211"/>
      <c r="E25" s="101" t="s">
        <v>9</v>
      </c>
      <c r="F25" s="82"/>
      <c r="G25" s="81"/>
      <c r="H25" s="78"/>
    </row>
    <row r="26" spans="1:8" ht="25.5">
      <c r="A26" s="22"/>
      <c r="B26" s="209" t="s">
        <v>155</v>
      </c>
      <c r="C26" s="210"/>
      <c r="D26" s="211"/>
      <c r="E26" s="97" t="s">
        <v>36</v>
      </c>
      <c r="F26" s="82"/>
      <c r="G26" s="81"/>
      <c r="H26" s="78"/>
    </row>
    <row r="27" spans="1:8" ht="31.5" customHeight="1">
      <c r="A27" s="128"/>
      <c r="B27" s="212"/>
      <c r="C27" s="213"/>
      <c r="D27" s="214"/>
      <c r="E27" s="97"/>
      <c r="F27" s="82"/>
      <c r="G27" s="81"/>
      <c r="H27" s="78"/>
    </row>
    <row r="28" spans="1:8" ht="15.75">
      <c r="A28" s="128"/>
      <c r="B28" s="235" t="s">
        <v>30</v>
      </c>
      <c r="C28" s="236"/>
      <c r="D28" s="237"/>
      <c r="E28" s="14"/>
      <c r="F28" s="82"/>
      <c r="G28" s="20">
        <f>SUM(G12:G27)</f>
        <v>9.520000000000001</v>
      </c>
      <c r="H28" s="78">
        <f t="shared" si="0"/>
        <v>309053</v>
      </c>
    </row>
    <row r="29" spans="1:8" ht="36.75" customHeight="1">
      <c r="A29" s="76" t="s">
        <v>156</v>
      </c>
      <c r="B29" s="219" t="s">
        <v>204</v>
      </c>
      <c r="C29" s="220"/>
      <c r="D29" s="220"/>
      <c r="E29" s="221"/>
      <c r="F29" s="50" t="s">
        <v>136</v>
      </c>
      <c r="G29" s="23">
        <v>1.06</v>
      </c>
      <c r="H29" s="78">
        <f t="shared" si="0"/>
        <v>34411</v>
      </c>
    </row>
    <row r="30" spans="1:8" ht="15.75">
      <c r="A30" s="76"/>
      <c r="B30" s="227" t="s">
        <v>205</v>
      </c>
      <c r="C30" s="227"/>
      <c r="D30" s="227"/>
      <c r="E30" s="227"/>
      <c r="F30" s="227"/>
      <c r="G30" s="20">
        <f>SUM(G28:G29)</f>
        <v>10.580000000000002</v>
      </c>
      <c r="H30" s="129">
        <f t="shared" si="0"/>
        <v>343465</v>
      </c>
    </row>
    <row r="31" spans="1:8" ht="174" thickBot="1">
      <c r="A31" s="130">
        <v>3</v>
      </c>
      <c r="B31" s="228" t="s">
        <v>206</v>
      </c>
      <c r="C31" s="229"/>
      <c r="D31" s="230"/>
      <c r="E31" s="131"/>
      <c r="F31" s="132" t="s">
        <v>136</v>
      </c>
      <c r="G31" s="84">
        <v>0.76</v>
      </c>
      <c r="H31" s="133">
        <f>ROUND($E$2*G31*12,0)</f>
        <v>24672</v>
      </c>
    </row>
    <row r="32" ht="15.75" customHeight="1"/>
    <row r="33" spans="2:5" ht="15.75">
      <c r="B33" s="33" t="s">
        <v>207</v>
      </c>
      <c r="C33" s="33"/>
      <c r="D33" s="33"/>
      <c r="E33" s="33"/>
    </row>
  </sheetData>
  <sheetProtection/>
  <mergeCells count="26"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  <mergeCell ref="B26:D26"/>
    <mergeCell ref="B27:D27"/>
    <mergeCell ref="B21:D21"/>
    <mergeCell ref="B22:D22"/>
    <mergeCell ref="B23:D23"/>
    <mergeCell ref="B24:D24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</mergeCells>
  <printOptions/>
  <pageMargins left="1.02" right="0.7086614173228347" top="0" bottom="0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0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875" style="0" customWidth="1"/>
    <col min="6" max="6" width="0.12890625" style="0" hidden="1" customWidth="1"/>
    <col min="7" max="7" width="6.75390625" style="0" bestFit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208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174" t="s">
        <v>209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2705.3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175" t="s">
        <v>137</v>
      </c>
      <c r="C7" s="176"/>
      <c r="D7" s="177"/>
      <c r="E7" s="11" t="s">
        <v>6</v>
      </c>
      <c r="F7" s="11" t="s">
        <v>7</v>
      </c>
      <c r="G7" s="86" t="s">
        <v>22</v>
      </c>
      <c r="H7" s="178" t="s">
        <v>138</v>
      </c>
      <c r="I7" s="168"/>
      <c r="J7" s="169"/>
    </row>
    <row r="8" spans="1:10" ht="15.75">
      <c r="A8" s="22">
        <v>1</v>
      </c>
      <c r="B8" s="195"/>
      <c r="C8" s="196"/>
      <c r="D8" s="196"/>
      <c r="E8" s="196"/>
      <c r="F8" s="197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5" t="s">
        <v>142</v>
      </c>
      <c r="C9" s="196"/>
      <c r="D9" s="196"/>
      <c r="E9" s="196"/>
      <c r="F9" s="197"/>
      <c r="G9" s="90"/>
      <c r="H9" s="90"/>
      <c r="I9" s="57"/>
      <c r="J9" s="89"/>
    </row>
    <row r="10" spans="1:10" ht="15.75">
      <c r="A10" s="91"/>
      <c r="B10" s="190" t="s">
        <v>143</v>
      </c>
      <c r="C10" s="190"/>
      <c r="D10" s="190"/>
      <c r="E10" s="190"/>
      <c r="F10" s="190"/>
      <c r="G10" s="15"/>
      <c r="H10" s="92">
        <v>330390.44</v>
      </c>
      <c r="I10" s="77"/>
      <c r="J10" s="58">
        <f>H10+I10</f>
        <v>330390.44</v>
      </c>
    </row>
    <row r="11" spans="1:10" ht="15.75">
      <c r="A11" s="91"/>
      <c r="B11" s="190" t="s">
        <v>144</v>
      </c>
      <c r="C11" s="190"/>
      <c r="D11" s="190"/>
      <c r="E11" s="190"/>
      <c r="F11" s="190"/>
      <c r="G11" s="15"/>
      <c r="H11" s="16">
        <v>17610.62</v>
      </c>
      <c r="I11" s="77"/>
      <c r="J11" s="58">
        <f>H11+I11</f>
        <v>17610.62</v>
      </c>
    </row>
    <row r="12" spans="1:10" ht="15.75">
      <c r="A12" s="22"/>
      <c r="B12" s="190" t="s">
        <v>145</v>
      </c>
      <c r="C12" s="190"/>
      <c r="D12" s="190"/>
      <c r="E12" s="190"/>
      <c r="F12" s="190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190" t="s">
        <v>146</v>
      </c>
      <c r="C13" s="190"/>
      <c r="D13" s="190"/>
      <c r="E13" s="190"/>
      <c r="F13" s="190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191" t="s">
        <v>147</v>
      </c>
      <c r="C14" s="191"/>
      <c r="D14" s="191"/>
      <c r="E14" s="191"/>
      <c r="F14" s="191"/>
      <c r="G14" s="15"/>
      <c r="H14" s="41">
        <f>SUM(H10:H13)</f>
        <v>348001.06</v>
      </c>
      <c r="I14" s="41">
        <f>SUM(I10:I13)</f>
        <v>0</v>
      </c>
      <c r="J14" s="41">
        <f>SUM(J10:J13)</f>
        <v>348001.06</v>
      </c>
    </row>
    <row r="15" spans="1:10" ht="18.75">
      <c r="A15" s="22">
        <v>2</v>
      </c>
      <c r="B15" s="192" t="s">
        <v>74</v>
      </c>
      <c r="C15" s="192"/>
      <c r="D15" s="192"/>
      <c r="E15" s="192"/>
      <c r="F15" s="192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172" t="s">
        <v>134</v>
      </c>
      <c r="C17" s="172"/>
      <c r="D17" s="172"/>
      <c r="E17" s="97" t="s">
        <v>32</v>
      </c>
      <c r="F17" s="80" t="s">
        <v>24</v>
      </c>
      <c r="G17" s="81">
        <v>1.06</v>
      </c>
      <c r="H17" s="98">
        <f>ROUND(G17*$E$3*12,2)</f>
        <v>34411.42</v>
      </c>
      <c r="I17" s="99">
        <f>$I$12*0.08</f>
        <v>0</v>
      </c>
      <c r="J17" s="100">
        <f>SUM(H17:I17)</f>
        <v>34411.42</v>
      </c>
    </row>
    <row r="18" spans="1:10" ht="17.25" customHeight="1">
      <c r="A18" s="22"/>
      <c r="B18" s="167" t="s">
        <v>17</v>
      </c>
      <c r="C18" s="167"/>
      <c r="D18" s="167"/>
      <c r="E18" s="97" t="s">
        <v>32</v>
      </c>
      <c r="F18" s="80" t="s">
        <v>19</v>
      </c>
      <c r="G18" s="81">
        <v>0.28</v>
      </c>
      <c r="H18" s="98">
        <f>ROUND(G18*$E$3*12,2)</f>
        <v>9089.81</v>
      </c>
      <c r="I18" s="99">
        <f>$I$12*0.02</f>
        <v>0</v>
      </c>
      <c r="J18" s="100">
        <f>SUM(H18:I18)</f>
        <v>9089.81</v>
      </c>
    </row>
    <row r="19" spans="1:10" ht="20.25" customHeight="1">
      <c r="A19" s="22"/>
      <c r="B19" s="170" t="s">
        <v>23</v>
      </c>
      <c r="C19" s="170"/>
      <c r="D19" s="170"/>
      <c r="E19" s="101" t="s">
        <v>149</v>
      </c>
      <c r="F19" s="82" t="s">
        <v>20</v>
      </c>
      <c r="G19" s="81">
        <v>0.39</v>
      </c>
      <c r="H19" s="98">
        <f>J19-I19</f>
        <v>11305.4</v>
      </c>
      <c r="I19" s="99">
        <f>$I$12*0.07</f>
        <v>0</v>
      </c>
      <c r="J19" s="102">
        <v>11305.4</v>
      </c>
    </row>
    <row r="20" spans="1:10" ht="20.25" customHeight="1">
      <c r="A20" s="96"/>
      <c r="B20" s="172" t="s">
        <v>31</v>
      </c>
      <c r="C20" s="172"/>
      <c r="D20" s="172"/>
      <c r="E20" s="103" t="s">
        <v>9</v>
      </c>
      <c r="F20" s="83" t="s">
        <v>10</v>
      </c>
      <c r="G20" s="81">
        <v>0.51</v>
      </c>
      <c r="H20" s="98">
        <f>ROUND(G20*$E$3*12,2)</f>
        <v>16556.44</v>
      </c>
      <c r="I20" s="99">
        <f>$I$12*0.04</f>
        <v>0</v>
      </c>
      <c r="J20" s="100">
        <f>SUM(H20:I20)</f>
        <v>16556.44</v>
      </c>
    </row>
    <row r="21" spans="1:10" ht="60.75" customHeight="1">
      <c r="A21" s="22"/>
      <c r="B21" s="170" t="s">
        <v>27</v>
      </c>
      <c r="C21" s="170"/>
      <c r="D21" s="170"/>
      <c r="E21" s="101" t="s">
        <v>150</v>
      </c>
      <c r="F21" s="82" t="s">
        <v>25</v>
      </c>
      <c r="G21" s="81">
        <v>0.12</v>
      </c>
      <c r="H21" s="98">
        <f>J21-I21</f>
        <v>4310.65</v>
      </c>
      <c r="I21" s="99">
        <f>$I$12*0.01</f>
        <v>0</v>
      </c>
      <c r="J21" s="102">
        <v>4310.65</v>
      </c>
    </row>
    <row r="22" spans="1:10" ht="20.25" customHeight="1">
      <c r="A22" s="96"/>
      <c r="B22" s="170" t="s">
        <v>11</v>
      </c>
      <c r="C22" s="170"/>
      <c r="D22" s="170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170" t="s">
        <v>26</v>
      </c>
      <c r="C23" s="171"/>
      <c r="D23" s="171"/>
      <c r="E23" s="104" t="s">
        <v>13</v>
      </c>
      <c r="F23" s="79" t="s">
        <v>14</v>
      </c>
      <c r="G23" s="81">
        <v>0.05</v>
      </c>
      <c r="H23" s="98">
        <f>J23-I23</f>
        <v>4945.65</v>
      </c>
      <c r="I23" s="99">
        <f>$I$12*0.003</f>
        <v>0</v>
      </c>
      <c r="J23" s="102">
        <v>4945.65</v>
      </c>
    </row>
    <row r="24" spans="1:10" ht="28.5" customHeight="1">
      <c r="A24" s="22"/>
      <c r="B24" s="170" t="s">
        <v>151</v>
      </c>
      <c r="C24" s="170"/>
      <c r="D24" s="170"/>
      <c r="E24" s="97" t="s">
        <v>36</v>
      </c>
      <c r="F24" s="39" t="s">
        <v>81</v>
      </c>
      <c r="G24" s="81">
        <v>2.15</v>
      </c>
      <c r="H24" s="98">
        <f aca="true" t="shared" si="0" ref="H24:H29">ROUND(G24*$E$3*12,2)</f>
        <v>69796.74</v>
      </c>
      <c r="I24" s="99">
        <f>$I$12*0.19</f>
        <v>0</v>
      </c>
      <c r="J24" s="100">
        <f aca="true" t="shared" si="1" ref="J24:J29">SUM(H24:I24)</f>
        <v>69796.74</v>
      </c>
    </row>
    <row r="25" spans="1:10" ht="26.25" customHeight="1">
      <c r="A25" s="22"/>
      <c r="B25" s="167" t="s">
        <v>15</v>
      </c>
      <c r="C25" s="167"/>
      <c r="D25" s="167"/>
      <c r="E25" s="97" t="s">
        <v>36</v>
      </c>
      <c r="F25" s="39" t="s">
        <v>81</v>
      </c>
      <c r="G25" s="81">
        <v>0.44</v>
      </c>
      <c r="H25" s="105">
        <f>ROUND(G25*$E$3*12,2)</f>
        <v>14283.98</v>
      </c>
      <c r="I25" s="99">
        <v>0</v>
      </c>
      <c r="J25" s="100">
        <f t="shared" si="1"/>
        <v>14283.98</v>
      </c>
    </row>
    <row r="26" spans="1:10" ht="30" customHeight="1">
      <c r="A26" s="22"/>
      <c r="B26" s="215" t="s">
        <v>37</v>
      </c>
      <c r="C26" s="213"/>
      <c r="D26" s="214"/>
      <c r="E26" s="97" t="s">
        <v>36</v>
      </c>
      <c r="F26" s="39" t="s">
        <v>81</v>
      </c>
      <c r="G26" s="36">
        <f>3.46-G27-G28</f>
        <v>3.46</v>
      </c>
      <c r="H26" s="105">
        <f t="shared" si="0"/>
        <v>112324.06</v>
      </c>
      <c r="I26" s="106">
        <f>$I$12*0.22</f>
        <v>0</v>
      </c>
      <c r="J26" s="100">
        <f t="shared" si="1"/>
        <v>112324.06</v>
      </c>
    </row>
    <row r="27" spans="1:10" ht="26.25" customHeight="1">
      <c r="A27" s="96"/>
      <c r="B27" s="170" t="s">
        <v>152</v>
      </c>
      <c r="C27" s="170"/>
      <c r="D27" s="170"/>
      <c r="E27" s="97" t="s">
        <v>36</v>
      </c>
      <c r="F27" s="39" t="s">
        <v>81</v>
      </c>
      <c r="G27" s="36">
        <v>0</v>
      </c>
      <c r="H27" s="105">
        <f t="shared" si="0"/>
        <v>0</v>
      </c>
      <c r="I27" s="106"/>
      <c r="J27" s="100">
        <f t="shared" si="1"/>
        <v>0</v>
      </c>
    </row>
    <row r="28" spans="1:10" ht="17.25" customHeight="1">
      <c r="A28" s="22"/>
      <c r="B28" s="170" t="s">
        <v>153</v>
      </c>
      <c r="C28" s="170"/>
      <c r="D28" s="170"/>
      <c r="E28" s="101" t="s">
        <v>9</v>
      </c>
      <c r="F28" s="39" t="s">
        <v>81</v>
      </c>
      <c r="G28" s="36">
        <v>0</v>
      </c>
      <c r="H28" s="105">
        <f t="shared" si="0"/>
        <v>0</v>
      </c>
      <c r="I28" s="106"/>
      <c r="J28" s="100">
        <f t="shared" si="1"/>
        <v>0</v>
      </c>
    </row>
    <row r="29" spans="1:10" ht="26.25" customHeight="1">
      <c r="A29" s="22"/>
      <c r="B29" s="171" t="s">
        <v>21</v>
      </c>
      <c r="C29" s="171"/>
      <c r="D29" s="171"/>
      <c r="E29" s="101" t="s">
        <v>36</v>
      </c>
      <c r="F29" s="39" t="s">
        <v>81</v>
      </c>
      <c r="G29" s="79">
        <v>1.06</v>
      </c>
      <c r="H29" s="98">
        <f t="shared" si="0"/>
        <v>34411.42</v>
      </c>
      <c r="I29" s="99">
        <f>$I$12*0.1</f>
        <v>0</v>
      </c>
      <c r="J29" s="100">
        <f t="shared" si="1"/>
        <v>34411.42</v>
      </c>
    </row>
    <row r="30" spans="1:10" ht="15.75">
      <c r="A30" s="22"/>
      <c r="B30" s="212"/>
      <c r="C30" s="213"/>
      <c r="D30" s="214"/>
      <c r="E30" s="101"/>
      <c r="F30" s="39"/>
      <c r="G30" s="79"/>
      <c r="H30" s="105"/>
      <c r="I30" s="93"/>
      <c r="J30" s="107"/>
    </row>
    <row r="31" spans="1:10" ht="15.75">
      <c r="A31" s="22"/>
      <c r="B31" s="207" t="s">
        <v>30</v>
      </c>
      <c r="C31" s="207"/>
      <c r="D31" s="207"/>
      <c r="E31" s="14"/>
      <c r="F31" s="39"/>
      <c r="G31" s="20">
        <f>SUM(G17:G29)</f>
        <v>9.520000000000001</v>
      </c>
      <c r="H31" s="45">
        <f>SUM(H17:H30)</f>
        <v>311435.57</v>
      </c>
      <c r="I31" s="108">
        <f>SUM(I17:I30)</f>
        <v>0</v>
      </c>
      <c r="J31" s="45">
        <f>SUM(J17:J30)</f>
        <v>311435.57</v>
      </c>
    </row>
    <row r="32" spans="1:10" ht="21.75" customHeight="1">
      <c r="A32" s="22"/>
      <c r="B32" s="209" t="s">
        <v>154</v>
      </c>
      <c r="C32" s="210"/>
      <c r="D32" s="211"/>
      <c r="E32" s="101" t="s">
        <v>9</v>
      </c>
      <c r="F32" s="39"/>
      <c r="G32" s="79"/>
      <c r="H32" s="105"/>
      <c r="I32" s="93"/>
      <c r="J32" s="107"/>
    </row>
    <row r="33" spans="1:10" ht="27.75" customHeight="1">
      <c r="A33" s="22"/>
      <c r="B33" s="209" t="s">
        <v>155</v>
      </c>
      <c r="C33" s="210"/>
      <c r="D33" s="211"/>
      <c r="E33" s="97" t="s">
        <v>36</v>
      </c>
      <c r="F33" s="39"/>
      <c r="G33" s="79"/>
      <c r="H33" s="105"/>
      <c r="I33" s="93"/>
      <c r="J33" s="107"/>
    </row>
    <row r="34" spans="1:10" ht="15.75">
      <c r="A34" s="22"/>
      <c r="B34" s="212"/>
      <c r="C34" s="213"/>
      <c r="D34" s="214"/>
      <c r="E34" s="101"/>
      <c r="F34" s="39"/>
      <c r="G34" s="79"/>
      <c r="H34" s="105"/>
      <c r="I34" s="93"/>
      <c r="J34" s="107"/>
    </row>
    <row r="35" spans="1:10" ht="15" customHeight="1">
      <c r="A35" s="22" t="s">
        <v>156</v>
      </c>
      <c r="B35" s="219" t="s">
        <v>157</v>
      </c>
      <c r="C35" s="220"/>
      <c r="D35" s="220"/>
      <c r="E35" s="221"/>
      <c r="F35" s="39" t="s">
        <v>81</v>
      </c>
      <c r="G35" s="23">
        <f>H35/E3/12</f>
        <v>3.2466208307150164</v>
      </c>
      <c r="H35" s="109">
        <v>105397</v>
      </c>
      <c r="I35" s="110"/>
      <c r="J35" s="95">
        <f>SUM(H35:I35)</f>
        <v>105397</v>
      </c>
    </row>
    <row r="36" spans="1:10" ht="14.25" customHeight="1">
      <c r="A36" s="25"/>
      <c r="B36" s="217" t="s">
        <v>76</v>
      </c>
      <c r="C36" s="217"/>
      <c r="D36" s="217"/>
      <c r="E36" s="217"/>
      <c r="F36" s="217"/>
      <c r="G36" s="20">
        <f>SUM(G31:G35)</f>
        <v>12.766620830715018</v>
      </c>
      <c r="H36" s="46">
        <f>SUM(H31:H35)</f>
        <v>416832.57</v>
      </c>
      <c r="I36" s="111">
        <f>SUM(I31:I35)</f>
        <v>0</v>
      </c>
      <c r="J36" s="111">
        <f>SUM(J31:J35)</f>
        <v>416832.57</v>
      </c>
    </row>
    <row r="37" spans="1:10" ht="15.75">
      <c r="A37" s="22" t="s">
        <v>158</v>
      </c>
      <c r="B37" s="216" t="s">
        <v>159</v>
      </c>
      <c r="C37" s="216"/>
      <c r="D37" s="216"/>
      <c r="E37" s="216"/>
      <c r="F37" s="216"/>
      <c r="G37" s="23"/>
      <c r="H37" s="112">
        <v>0</v>
      </c>
      <c r="I37" s="112">
        <v>0</v>
      </c>
      <c r="J37" s="113">
        <f>SUM(H37:I37)</f>
        <v>0</v>
      </c>
    </row>
    <row r="38" spans="1:10" ht="24.75" customHeight="1">
      <c r="A38" s="25"/>
      <c r="B38" s="217" t="s">
        <v>160</v>
      </c>
      <c r="C38" s="217"/>
      <c r="D38" s="217"/>
      <c r="E38" s="217"/>
      <c r="F38" s="217"/>
      <c r="G38" s="20">
        <f>SUM(G36:G37)</f>
        <v>12.766620830715018</v>
      </c>
      <c r="H38" s="46">
        <f>SUM(H36:H37)</f>
        <v>416832.57</v>
      </c>
      <c r="I38" s="111">
        <f>SUM(I36:I37)</f>
        <v>0</v>
      </c>
      <c r="J38" s="111">
        <f>SUM(J36:J37)</f>
        <v>416832.57</v>
      </c>
    </row>
    <row r="39" spans="1:10" ht="27" customHeight="1">
      <c r="A39" s="22">
        <v>3</v>
      </c>
      <c r="B39" s="238" t="s">
        <v>210</v>
      </c>
      <c r="C39" s="186"/>
      <c r="D39" s="186"/>
      <c r="E39" s="186"/>
      <c r="F39" s="186"/>
      <c r="G39" s="187"/>
      <c r="H39" s="98">
        <f>H14-H38</f>
        <v>-68831.51000000001</v>
      </c>
      <c r="I39" s="98">
        <f>I14-I38</f>
        <v>0</v>
      </c>
      <c r="J39" s="95">
        <f>J14-J38</f>
        <v>-68831.51000000001</v>
      </c>
    </row>
    <row r="40" spans="2:6" ht="15.75">
      <c r="B40" s="33"/>
      <c r="F40" s="33"/>
    </row>
    <row r="41" spans="2:9" ht="36" customHeight="1">
      <c r="B41" s="218" t="s">
        <v>212</v>
      </c>
      <c r="C41" s="218"/>
      <c r="D41" s="218"/>
      <c r="E41" s="218"/>
      <c r="F41" s="218"/>
      <c r="G41" s="218"/>
      <c r="H41" s="218"/>
      <c r="I41" s="218"/>
    </row>
    <row r="42" spans="2:4" ht="25.5" customHeight="1">
      <c r="B42" s="33"/>
      <c r="C42" s="33"/>
      <c r="D42" s="33"/>
    </row>
    <row r="43" spans="2:10" ht="15.75">
      <c r="B43" s="48" t="s">
        <v>211</v>
      </c>
      <c r="C43" s="48"/>
      <c r="D43" s="48"/>
      <c r="E43" s="48"/>
      <c r="F43" s="48"/>
      <c r="J43"/>
    </row>
    <row r="44" spans="2:4" ht="15.75" customHeight="1">
      <c r="B44" s="184" t="s">
        <v>86</v>
      </c>
      <c r="C44" s="184"/>
      <c r="D44" s="184"/>
    </row>
  </sheetData>
  <sheetProtection/>
  <mergeCells count="37">
    <mergeCell ref="B18:D18"/>
    <mergeCell ref="B8:F8"/>
    <mergeCell ref="B9:F9"/>
    <mergeCell ref="A1:J1"/>
    <mergeCell ref="A2:J2"/>
    <mergeCell ref="B7:D7"/>
    <mergeCell ref="H7:J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39:G39"/>
    <mergeCell ref="B19:D19"/>
    <mergeCell ref="B20:D20"/>
    <mergeCell ref="B30:D30"/>
    <mergeCell ref="B31:D31"/>
    <mergeCell ref="B23:D23"/>
    <mergeCell ref="B24:D24"/>
    <mergeCell ref="B25:D25"/>
    <mergeCell ref="B26:D26"/>
    <mergeCell ref="B27:D27"/>
    <mergeCell ref="B41:I41"/>
    <mergeCell ref="B29:D29"/>
    <mergeCell ref="B44:D44"/>
    <mergeCell ref="B32:D32"/>
    <mergeCell ref="B33:D33"/>
    <mergeCell ref="B34:D34"/>
    <mergeCell ref="B35:E35"/>
    <mergeCell ref="B36:F36"/>
    <mergeCell ref="B37:F37"/>
    <mergeCell ref="B38:F38"/>
  </mergeCells>
  <printOptions/>
  <pageMargins left="0" right="0" top="0" bottom="0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customWidth="1"/>
    <col min="7" max="7" width="6.75390625" style="0" hidden="1" customWidth="1"/>
    <col min="8" max="8" width="13.25390625" style="0" customWidth="1"/>
  </cols>
  <sheetData>
    <row r="1" spans="1:8" ht="132.75" customHeight="1">
      <c r="A1" s="179" t="s">
        <v>213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2705.3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9.75" customHeight="1">
      <c r="A6" s="74" t="s">
        <v>61</v>
      </c>
      <c r="B6" s="231" t="s">
        <v>137</v>
      </c>
      <c r="C6" s="232"/>
      <c r="D6" s="233"/>
      <c r="E6" s="75" t="s">
        <v>6</v>
      </c>
      <c r="F6" s="75" t="s">
        <v>7</v>
      </c>
      <c r="G6" s="125" t="s">
        <v>199</v>
      </c>
      <c r="H6" s="126" t="s">
        <v>131</v>
      </c>
    </row>
    <row r="7" spans="1:8" ht="15.75" customHeight="1">
      <c r="A7" s="76">
        <v>1</v>
      </c>
      <c r="B7" s="234" t="s">
        <v>132</v>
      </c>
      <c r="C7" s="234"/>
      <c r="D7" s="234"/>
      <c r="E7" s="234"/>
      <c r="F7" s="234"/>
      <c r="G7" s="77"/>
      <c r="H7" s="127"/>
    </row>
    <row r="8" spans="1:8" ht="15.75" customHeight="1">
      <c r="A8" s="76"/>
      <c r="B8" s="191" t="s">
        <v>200</v>
      </c>
      <c r="C8" s="191"/>
      <c r="D8" s="191"/>
      <c r="E8" s="191"/>
      <c r="F8" s="191"/>
      <c r="G8" s="23">
        <f>G30</f>
        <v>10.89</v>
      </c>
      <c r="H8" s="127">
        <f>ROUND($E$2*G8*12,0)</f>
        <v>353529</v>
      </c>
    </row>
    <row r="9" spans="1:8" ht="15.75" customHeight="1">
      <c r="A9" s="76"/>
      <c r="B9" s="222" t="s">
        <v>133</v>
      </c>
      <c r="C9" s="222"/>
      <c r="D9" s="222"/>
      <c r="E9" s="222"/>
      <c r="F9" s="222"/>
      <c r="G9" s="22">
        <v>0.78</v>
      </c>
      <c r="H9" s="127">
        <f>ROUND($E$2*G9*12,0)</f>
        <v>25322</v>
      </c>
    </row>
    <row r="10" spans="1:8" ht="18.75" customHeight="1">
      <c r="A10" s="76">
        <v>2</v>
      </c>
      <c r="B10" s="192" t="s">
        <v>74</v>
      </c>
      <c r="C10" s="192"/>
      <c r="D10" s="192"/>
      <c r="E10" s="192"/>
      <c r="F10" s="192"/>
      <c r="G10" s="79"/>
      <c r="H10" s="127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27"/>
    </row>
    <row r="12" spans="1:8" ht="15.75" customHeight="1">
      <c r="A12" s="128"/>
      <c r="B12" s="225" t="s">
        <v>201</v>
      </c>
      <c r="C12" s="225"/>
      <c r="D12" s="225"/>
      <c r="E12" s="97" t="s">
        <v>32</v>
      </c>
      <c r="F12" s="80" t="s">
        <v>24</v>
      </c>
      <c r="G12" s="81">
        <v>1.09</v>
      </c>
      <c r="H12" s="78">
        <f aca="true" t="shared" si="0" ref="H12:H30">ROUND($E$2*G12*12,0)</f>
        <v>35385</v>
      </c>
    </row>
    <row r="13" spans="1:8" ht="15.75" customHeight="1">
      <c r="A13" s="128"/>
      <c r="B13" s="225" t="s">
        <v>17</v>
      </c>
      <c r="C13" s="225"/>
      <c r="D13" s="225"/>
      <c r="E13" s="97" t="s">
        <v>32</v>
      </c>
      <c r="F13" s="80" t="s">
        <v>19</v>
      </c>
      <c r="G13" s="81">
        <v>0.29</v>
      </c>
      <c r="H13" s="78">
        <f t="shared" si="0"/>
        <v>9414</v>
      </c>
    </row>
    <row r="14" spans="1:8" ht="15.75" customHeight="1">
      <c r="A14" s="128"/>
      <c r="B14" s="223" t="s">
        <v>23</v>
      </c>
      <c r="C14" s="223"/>
      <c r="D14" s="223"/>
      <c r="E14" s="101" t="s">
        <v>149</v>
      </c>
      <c r="F14" s="82" t="s">
        <v>20</v>
      </c>
      <c r="G14" s="81">
        <v>0.4</v>
      </c>
      <c r="H14" s="78">
        <f t="shared" si="0"/>
        <v>12985</v>
      </c>
    </row>
    <row r="15" spans="1:8" ht="18.75" customHeight="1">
      <c r="A15" s="128"/>
      <c r="B15" s="226" t="s">
        <v>31</v>
      </c>
      <c r="C15" s="226"/>
      <c r="D15" s="226"/>
      <c r="E15" s="103" t="s">
        <v>9</v>
      </c>
      <c r="F15" s="83" t="s">
        <v>10</v>
      </c>
      <c r="G15" s="81">
        <v>0.53</v>
      </c>
      <c r="H15" s="78">
        <f t="shared" si="0"/>
        <v>17206</v>
      </c>
    </row>
    <row r="16" spans="1:8" ht="54" customHeight="1">
      <c r="A16" s="128"/>
      <c r="B16" s="223" t="s">
        <v>27</v>
      </c>
      <c r="C16" s="223"/>
      <c r="D16" s="223"/>
      <c r="E16" s="101" t="s">
        <v>150</v>
      </c>
      <c r="F16" s="82" t="s">
        <v>25</v>
      </c>
      <c r="G16" s="81">
        <v>0.12</v>
      </c>
      <c r="H16" s="78">
        <f t="shared" si="0"/>
        <v>3896</v>
      </c>
    </row>
    <row r="17" spans="1:8" ht="31.5" customHeight="1">
      <c r="A17" s="128"/>
      <c r="B17" s="223" t="s">
        <v>11</v>
      </c>
      <c r="C17" s="223"/>
      <c r="D17" s="223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8"/>
      <c r="B18" s="223" t="s">
        <v>26</v>
      </c>
      <c r="C18" s="224"/>
      <c r="D18" s="224"/>
      <c r="E18" s="104" t="s">
        <v>13</v>
      </c>
      <c r="F18" s="79" t="s">
        <v>202</v>
      </c>
      <c r="G18" s="81">
        <v>0.05</v>
      </c>
      <c r="H18" s="78">
        <f t="shared" si="0"/>
        <v>1623</v>
      </c>
    </row>
    <row r="19" spans="1:8" ht="27.75" customHeight="1">
      <c r="A19" s="128"/>
      <c r="B19" s="223" t="s">
        <v>151</v>
      </c>
      <c r="C19" s="223"/>
      <c r="D19" s="223"/>
      <c r="E19" s="97" t="s">
        <v>36</v>
      </c>
      <c r="F19" s="82" t="s">
        <v>81</v>
      </c>
      <c r="G19" s="81">
        <v>2.21</v>
      </c>
      <c r="H19" s="78">
        <f t="shared" si="0"/>
        <v>71745</v>
      </c>
    </row>
    <row r="20" spans="1:8" ht="50.25" customHeight="1">
      <c r="A20" s="128"/>
      <c r="B20" s="225" t="s">
        <v>15</v>
      </c>
      <c r="C20" s="225"/>
      <c r="D20" s="225"/>
      <c r="E20" s="97" t="s">
        <v>135</v>
      </c>
      <c r="F20" s="82" t="s">
        <v>81</v>
      </c>
      <c r="G20" s="81">
        <v>0.45</v>
      </c>
      <c r="H20" s="78">
        <f t="shared" si="0"/>
        <v>14609</v>
      </c>
    </row>
    <row r="21" spans="1:8" ht="39.75" customHeight="1">
      <c r="A21" s="128"/>
      <c r="B21" s="223" t="s">
        <v>37</v>
      </c>
      <c r="C21" s="224"/>
      <c r="D21" s="224"/>
      <c r="E21" s="97" t="s">
        <v>36</v>
      </c>
      <c r="F21" s="82" t="s">
        <v>81</v>
      </c>
      <c r="G21" s="81">
        <f>3.57-G22-G23</f>
        <v>3.57</v>
      </c>
      <c r="H21" s="78">
        <f t="shared" si="0"/>
        <v>115895</v>
      </c>
    </row>
    <row r="22" spans="1:8" ht="31.5" customHeight="1">
      <c r="A22" s="128"/>
      <c r="B22" s="223" t="s">
        <v>203</v>
      </c>
      <c r="C22" s="223"/>
      <c r="D22" s="223"/>
      <c r="E22" s="101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8"/>
      <c r="B23" s="223" t="s">
        <v>153</v>
      </c>
      <c r="C23" s="223"/>
      <c r="D23" s="223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8"/>
      <c r="B24" s="224" t="s">
        <v>21</v>
      </c>
      <c r="C24" s="224"/>
      <c r="D24" s="224"/>
      <c r="E24" s="97" t="s">
        <v>36</v>
      </c>
      <c r="F24" s="82" t="s">
        <v>81</v>
      </c>
      <c r="G24" s="81">
        <v>1.09</v>
      </c>
      <c r="H24" s="78">
        <f t="shared" si="0"/>
        <v>35385</v>
      </c>
    </row>
    <row r="25" spans="1:8" ht="15.75">
      <c r="A25" s="22"/>
      <c r="B25" s="209" t="s">
        <v>154</v>
      </c>
      <c r="C25" s="210"/>
      <c r="D25" s="211"/>
      <c r="E25" s="101" t="s">
        <v>9</v>
      </c>
      <c r="F25" s="82"/>
      <c r="G25" s="81"/>
      <c r="H25" s="78"/>
    </row>
    <row r="26" spans="1:8" ht="25.5">
      <c r="A26" s="22"/>
      <c r="B26" s="209" t="s">
        <v>155</v>
      </c>
      <c r="C26" s="210"/>
      <c r="D26" s="211"/>
      <c r="E26" s="97" t="s">
        <v>36</v>
      </c>
      <c r="F26" s="82"/>
      <c r="G26" s="81"/>
      <c r="H26" s="78"/>
    </row>
    <row r="27" spans="1:8" ht="26.25" customHeight="1">
      <c r="A27" s="128"/>
      <c r="B27" s="212"/>
      <c r="C27" s="213"/>
      <c r="D27" s="214"/>
      <c r="E27" s="97"/>
      <c r="F27" s="82"/>
      <c r="G27" s="81"/>
      <c r="H27" s="78"/>
    </row>
    <row r="28" spans="1:8" ht="15.75">
      <c r="A28" s="128"/>
      <c r="B28" s="235" t="s">
        <v>30</v>
      </c>
      <c r="C28" s="236"/>
      <c r="D28" s="237"/>
      <c r="E28" s="14"/>
      <c r="F28" s="82"/>
      <c r="G28" s="20">
        <f>SUM(G12:G27)</f>
        <v>9.8</v>
      </c>
      <c r="H28" s="78">
        <f t="shared" si="0"/>
        <v>318143</v>
      </c>
    </row>
    <row r="29" spans="1:8" ht="22.5" customHeight="1">
      <c r="A29" s="76" t="s">
        <v>156</v>
      </c>
      <c r="B29" s="219" t="s">
        <v>214</v>
      </c>
      <c r="C29" s="220"/>
      <c r="D29" s="220"/>
      <c r="E29" s="221"/>
      <c r="F29" s="50" t="s">
        <v>136</v>
      </c>
      <c r="G29" s="23">
        <v>1.09</v>
      </c>
      <c r="H29" s="78">
        <v>49600</v>
      </c>
    </row>
    <row r="30" spans="1:8" ht="15.75">
      <c r="A30" s="76"/>
      <c r="B30" s="227" t="s">
        <v>205</v>
      </c>
      <c r="C30" s="227"/>
      <c r="D30" s="227"/>
      <c r="E30" s="227"/>
      <c r="F30" s="227"/>
      <c r="G30" s="20">
        <f>SUM(G28:G29)</f>
        <v>10.89</v>
      </c>
      <c r="H30" s="129">
        <f t="shared" si="0"/>
        <v>353529</v>
      </c>
    </row>
    <row r="31" spans="1:8" ht="22.5" customHeight="1" thickBot="1">
      <c r="A31" s="130">
        <v>3</v>
      </c>
      <c r="B31" s="228" t="s">
        <v>215</v>
      </c>
      <c r="C31" s="229"/>
      <c r="D31" s="230"/>
      <c r="E31" s="131"/>
      <c r="F31" s="132" t="s">
        <v>136</v>
      </c>
      <c r="G31" s="84">
        <v>0.78</v>
      </c>
      <c r="H31" s="133">
        <f>ROUND($E$2*G31*12,0)</f>
        <v>25322</v>
      </c>
    </row>
    <row r="32" spans="2:5" ht="47.25" customHeight="1">
      <c r="B32" s="239" t="s">
        <v>216</v>
      </c>
      <c r="C32" s="239"/>
      <c r="D32" s="239"/>
      <c r="E32" s="239"/>
    </row>
    <row r="33" spans="2:5" ht="27.75" customHeight="1">
      <c r="B33" s="33" t="s">
        <v>207</v>
      </c>
      <c r="C33" s="33"/>
      <c r="D33" s="33"/>
      <c r="E33" s="33"/>
    </row>
  </sheetData>
  <sheetProtection/>
  <mergeCells count="27">
    <mergeCell ref="B31:D31"/>
    <mergeCell ref="B26:D26"/>
    <mergeCell ref="B27:D27"/>
    <mergeCell ref="B28:D28"/>
    <mergeCell ref="B29:E29"/>
    <mergeCell ref="B23:D23"/>
    <mergeCell ref="B24:D24"/>
    <mergeCell ref="B25:D25"/>
    <mergeCell ref="B30:F30"/>
    <mergeCell ref="B19:D19"/>
    <mergeCell ref="B20:D20"/>
    <mergeCell ref="B21:D21"/>
    <mergeCell ref="B22:D22"/>
    <mergeCell ref="B15:D15"/>
    <mergeCell ref="B16:D16"/>
    <mergeCell ref="B17:D17"/>
    <mergeCell ref="B18:D18"/>
    <mergeCell ref="B32:E32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98" right="0" top="0" bottom="0" header="0.31496062992125984" footer="0.11811023622047245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7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19.25390625" style="0" hidden="1" customWidth="1"/>
    <col min="7" max="7" width="13.00390625" style="0" customWidth="1"/>
    <col min="8" max="8" width="13.25390625" style="0" customWidth="1"/>
  </cols>
  <sheetData>
    <row r="1" spans="3:8" ht="66.75" customHeight="1">
      <c r="C1" s="240" t="s">
        <v>217</v>
      </c>
      <c r="D1" s="240"/>
      <c r="E1" s="240"/>
      <c r="F1" s="240"/>
      <c r="G1" s="240"/>
      <c r="H1" s="240"/>
    </row>
    <row r="2" spans="3:8" ht="15.75">
      <c r="C2" s="141"/>
      <c r="D2" s="141"/>
      <c r="E2" s="141"/>
      <c r="F2" s="141"/>
      <c r="G2" s="141"/>
      <c r="H2" s="141"/>
    </row>
    <row r="4" spans="1:8" ht="20.25" customHeight="1">
      <c r="A4" s="179" t="s">
        <v>218</v>
      </c>
      <c r="B4" s="179"/>
      <c r="C4" s="179"/>
      <c r="D4" s="179"/>
      <c r="E4" s="179"/>
      <c r="F4" s="179"/>
      <c r="G4" s="179"/>
      <c r="H4" s="179"/>
    </row>
    <row r="5" spans="1:6" ht="19.5">
      <c r="A5" s="142"/>
      <c r="B5" s="142"/>
      <c r="C5" s="142"/>
      <c r="D5" s="142"/>
      <c r="E5" s="142"/>
      <c r="F5" s="142"/>
    </row>
    <row r="6" spans="2:7" ht="19.5" customHeight="1">
      <c r="B6" s="241" t="s">
        <v>229</v>
      </c>
      <c r="C6" s="241"/>
      <c r="D6" s="241"/>
      <c r="E6" s="241"/>
      <c r="F6" s="241"/>
      <c r="G6" s="241"/>
    </row>
    <row r="8" spans="1:6" ht="18.75">
      <c r="A8" s="1" t="s">
        <v>82</v>
      </c>
      <c r="B8" s="1" t="s">
        <v>84</v>
      </c>
      <c r="C8" s="2"/>
      <c r="D8" s="2" t="s">
        <v>0</v>
      </c>
      <c r="E8" s="26">
        <v>2711.1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74" t="s">
        <v>61</v>
      </c>
      <c r="B12" s="231" t="s">
        <v>137</v>
      </c>
      <c r="C12" s="232"/>
      <c r="D12" s="233"/>
      <c r="E12" s="75" t="s">
        <v>6</v>
      </c>
      <c r="F12" s="75" t="s">
        <v>7</v>
      </c>
      <c r="G12" s="139" t="s">
        <v>230</v>
      </c>
      <c r="H12" s="140" t="s">
        <v>231</v>
      </c>
    </row>
    <row r="13" spans="1:8" ht="25.5">
      <c r="A13" s="134">
        <v>1</v>
      </c>
      <c r="B13" s="175">
        <v>2</v>
      </c>
      <c r="C13" s="176"/>
      <c r="D13" s="242"/>
      <c r="E13" s="136">
        <v>3</v>
      </c>
      <c r="F13" s="135"/>
      <c r="G13" s="137">
        <v>4</v>
      </c>
      <c r="H13" s="138" t="s">
        <v>232</v>
      </c>
    </row>
    <row r="14" spans="1:8" ht="15.75" customHeight="1" hidden="1">
      <c r="A14" s="76">
        <v>1</v>
      </c>
      <c r="B14" s="234" t="s">
        <v>132</v>
      </c>
      <c r="C14" s="234"/>
      <c r="D14" s="234"/>
      <c r="E14" s="234"/>
      <c r="F14" s="234"/>
      <c r="G14" s="77"/>
      <c r="H14" s="127"/>
    </row>
    <row r="15" spans="1:8" ht="15.75" customHeight="1" hidden="1">
      <c r="A15" s="76"/>
      <c r="B15" s="191" t="s">
        <v>200</v>
      </c>
      <c r="C15" s="191"/>
      <c r="D15" s="191"/>
      <c r="E15" s="191"/>
      <c r="F15" s="191"/>
      <c r="G15" s="23">
        <f>G37</f>
        <v>11.21</v>
      </c>
      <c r="H15" s="127">
        <f>ROUND($E$8*G15*12,0)</f>
        <v>364697</v>
      </c>
    </row>
    <row r="16" spans="1:8" ht="15.75" customHeight="1" hidden="1">
      <c r="A16" s="76"/>
      <c r="B16" s="222" t="s">
        <v>133</v>
      </c>
      <c r="C16" s="222"/>
      <c r="D16" s="222"/>
      <c r="E16" s="222"/>
      <c r="F16" s="222"/>
      <c r="G16" s="22">
        <v>0.78</v>
      </c>
      <c r="H16" s="127">
        <f>ROUND($E$8*G16*12,0)</f>
        <v>25376</v>
      </c>
    </row>
    <row r="17" spans="1:8" ht="18.75" customHeight="1">
      <c r="A17" s="76" t="s">
        <v>94</v>
      </c>
      <c r="B17" s="192" t="s">
        <v>74</v>
      </c>
      <c r="C17" s="192"/>
      <c r="D17" s="192"/>
      <c r="E17" s="192"/>
      <c r="F17" s="192"/>
      <c r="G17" s="79"/>
      <c r="H17" s="127"/>
    </row>
    <row r="18" spans="1:8" ht="15.75" customHeight="1">
      <c r="A18" s="146" t="s">
        <v>220</v>
      </c>
      <c r="B18" s="18" t="s">
        <v>75</v>
      </c>
      <c r="C18" s="18"/>
      <c r="D18" s="18"/>
      <c r="E18" s="18"/>
      <c r="F18" s="5"/>
      <c r="G18" s="90"/>
      <c r="H18" s="127"/>
    </row>
    <row r="19" spans="1:8" ht="15.75" customHeight="1">
      <c r="A19" s="128"/>
      <c r="B19" s="225" t="s">
        <v>201</v>
      </c>
      <c r="C19" s="225"/>
      <c r="D19" s="225"/>
      <c r="E19" s="97" t="s">
        <v>32</v>
      </c>
      <c r="F19" s="80" t="s">
        <v>24</v>
      </c>
      <c r="G19" s="81">
        <v>1.12</v>
      </c>
      <c r="H19" s="78">
        <f>ROUND($E$8*G19*4,0)</f>
        <v>12146</v>
      </c>
    </row>
    <row r="20" spans="1:8" ht="15.75" customHeight="1">
      <c r="A20" s="128"/>
      <c r="B20" s="225" t="s">
        <v>17</v>
      </c>
      <c r="C20" s="225"/>
      <c r="D20" s="225"/>
      <c r="E20" s="97" t="s">
        <v>32</v>
      </c>
      <c r="F20" s="80" t="s">
        <v>19</v>
      </c>
      <c r="G20" s="81">
        <v>0.3</v>
      </c>
      <c r="H20" s="78">
        <f aca="true" t="shared" si="0" ref="H20:H38">ROUND($E$8*G20*4,0)</f>
        <v>3253</v>
      </c>
    </row>
    <row r="21" spans="1:8" ht="15.75" customHeight="1">
      <c r="A21" s="128"/>
      <c r="B21" s="223" t="s">
        <v>23</v>
      </c>
      <c r="C21" s="223"/>
      <c r="D21" s="223"/>
      <c r="E21" s="101" t="s">
        <v>149</v>
      </c>
      <c r="F21" s="82" t="s">
        <v>20</v>
      </c>
      <c r="G21" s="81">
        <v>0.41</v>
      </c>
      <c r="H21" s="78">
        <f t="shared" si="0"/>
        <v>4446</v>
      </c>
    </row>
    <row r="22" spans="1:8" ht="18.75" customHeight="1">
      <c r="A22" s="128"/>
      <c r="B22" s="226" t="s">
        <v>31</v>
      </c>
      <c r="C22" s="226"/>
      <c r="D22" s="226"/>
      <c r="E22" s="103" t="s">
        <v>9</v>
      </c>
      <c r="F22" s="83" t="s">
        <v>10</v>
      </c>
      <c r="G22" s="81">
        <v>0.54</v>
      </c>
      <c r="H22" s="78">
        <f t="shared" si="0"/>
        <v>5856</v>
      </c>
    </row>
    <row r="23" spans="1:8" ht="54" customHeight="1">
      <c r="A23" s="128"/>
      <c r="B23" s="223" t="s">
        <v>27</v>
      </c>
      <c r="C23" s="223"/>
      <c r="D23" s="223"/>
      <c r="E23" s="101" t="s">
        <v>150</v>
      </c>
      <c r="F23" s="82" t="s">
        <v>25</v>
      </c>
      <c r="G23" s="81">
        <v>0.13</v>
      </c>
      <c r="H23" s="78">
        <f t="shared" si="0"/>
        <v>1410</v>
      </c>
    </row>
    <row r="24" spans="1:8" ht="31.5" customHeight="1">
      <c r="A24" s="128"/>
      <c r="B24" s="223" t="s">
        <v>11</v>
      </c>
      <c r="C24" s="223"/>
      <c r="D24" s="223"/>
      <c r="E24" s="101" t="s">
        <v>9</v>
      </c>
      <c r="F24" s="82" t="s">
        <v>12</v>
      </c>
      <c r="G24" s="145">
        <v>0</v>
      </c>
      <c r="H24" s="78">
        <f t="shared" si="0"/>
        <v>0</v>
      </c>
    </row>
    <row r="25" spans="1:8" ht="15.75" customHeight="1">
      <c r="A25" s="128"/>
      <c r="B25" s="223" t="s">
        <v>26</v>
      </c>
      <c r="C25" s="224"/>
      <c r="D25" s="224"/>
      <c r="E25" s="104" t="s">
        <v>13</v>
      </c>
      <c r="F25" s="79" t="s">
        <v>202</v>
      </c>
      <c r="G25" s="81">
        <v>0.05</v>
      </c>
      <c r="H25" s="78">
        <f t="shared" si="0"/>
        <v>542</v>
      </c>
    </row>
    <row r="26" spans="1:8" ht="51">
      <c r="A26" s="128"/>
      <c r="B26" s="223" t="s">
        <v>151</v>
      </c>
      <c r="C26" s="223"/>
      <c r="D26" s="223"/>
      <c r="E26" s="97" t="s">
        <v>223</v>
      </c>
      <c r="F26" s="82" t="s">
        <v>81</v>
      </c>
      <c r="G26" s="81">
        <v>1.63</v>
      </c>
      <c r="H26" s="78">
        <f t="shared" si="0"/>
        <v>17676</v>
      </c>
    </row>
    <row r="27" spans="1:8" ht="50.25" customHeight="1">
      <c r="A27" s="128"/>
      <c r="B27" s="225" t="s">
        <v>15</v>
      </c>
      <c r="C27" s="225"/>
      <c r="D27" s="225"/>
      <c r="E27" s="97" t="s">
        <v>135</v>
      </c>
      <c r="F27" s="82" t="s">
        <v>81</v>
      </c>
      <c r="G27" s="81">
        <v>0.47</v>
      </c>
      <c r="H27" s="78">
        <f t="shared" si="0"/>
        <v>5097</v>
      </c>
    </row>
    <row r="28" spans="1:8" ht="31.5" customHeight="1">
      <c r="A28" s="128"/>
      <c r="B28" s="223" t="s">
        <v>37</v>
      </c>
      <c r="C28" s="224"/>
      <c r="D28" s="224"/>
      <c r="E28" s="97" t="s">
        <v>36</v>
      </c>
      <c r="F28" s="82" t="s">
        <v>81</v>
      </c>
      <c r="G28" s="81">
        <f>4.32-G29-G30</f>
        <v>4.32</v>
      </c>
      <c r="H28" s="78">
        <f t="shared" si="0"/>
        <v>46848</v>
      </c>
    </row>
    <row r="29" spans="1:8" ht="15.75">
      <c r="A29" s="128"/>
      <c r="B29" s="223" t="s">
        <v>203</v>
      </c>
      <c r="C29" s="223"/>
      <c r="D29" s="223"/>
      <c r="E29" s="101" t="s">
        <v>9</v>
      </c>
      <c r="F29" s="82" t="s">
        <v>81</v>
      </c>
      <c r="G29" s="145">
        <v>0</v>
      </c>
      <c r="H29" s="78">
        <f t="shared" si="0"/>
        <v>0</v>
      </c>
    </row>
    <row r="30" spans="1:8" ht="15.75" customHeight="1">
      <c r="A30" s="128"/>
      <c r="B30" s="223" t="s">
        <v>153</v>
      </c>
      <c r="C30" s="223"/>
      <c r="D30" s="223"/>
      <c r="E30" s="101" t="s">
        <v>9</v>
      </c>
      <c r="F30" s="82" t="s">
        <v>81</v>
      </c>
      <c r="G30" s="145">
        <v>0</v>
      </c>
      <c r="H30" s="78">
        <f t="shared" si="0"/>
        <v>0</v>
      </c>
    </row>
    <row r="31" spans="1:8" ht="25.5">
      <c r="A31" s="128"/>
      <c r="B31" s="224" t="s">
        <v>21</v>
      </c>
      <c r="C31" s="224"/>
      <c r="D31" s="224"/>
      <c r="E31" s="97" t="s">
        <v>36</v>
      </c>
      <c r="F31" s="82" t="s">
        <v>81</v>
      </c>
      <c r="G31" s="81">
        <v>1.12</v>
      </c>
      <c r="H31" s="78">
        <f t="shared" si="0"/>
        <v>12146</v>
      </c>
    </row>
    <row r="32" spans="1:8" ht="15.75" hidden="1">
      <c r="A32" s="22"/>
      <c r="B32" s="209" t="s">
        <v>154</v>
      </c>
      <c r="C32" s="210"/>
      <c r="D32" s="211"/>
      <c r="E32" s="101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209" t="s">
        <v>155</v>
      </c>
      <c r="C33" s="210"/>
      <c r="D33" s="211"/>
      <c r="E33" s="97" t="s">
        <v>36</v>
      </c>
      <c r="F33" s="82"/>
      <c r="G33" s="81"/>
      <c r="H33" s="78">
        <f t="shared" si="0"/>
        <v>0</v>
      </c>
    </row>
    <row r="34" spans="1:8" ht="26.25" customHeight="1" hidden="1">
      <c r="A34" s="128"/>
      <c r="B34" s="212"/>
      <c r="C34" s="213"/>
      <c r="D34" s="214"/>
      <c r="E34" s="97"/>
      <c r="F34" s="82"/>
      <c r="G34" s="81"/>
      <c r="H34" s="78">
        <f t="shared" si="0"/>
        <v>0</v>
      </c>
    </row>
    <row r="35" spans="1:8" ht="15.75">
      <c r="A35" s="128"/>
      <c r="B35" s="235" t="s">
        <v>30</v>
      </c>
      <c r="C35" s="236"/>
      <c r="D35" s="237"/>
      <c r="E35" s="14"/>
      <c r="F35" s="82"/>
      <c r="G35" s="20">
        <f>SUM(G19:G34)</f>
        <v>10.09</v>
      </c>
      <c r="H35" s="78">
        <f t="shared" si="0"/>
        <v>109420</v>
      </c>
    </row>
    <row r="36" spans="1:8" ht="15.75">
      <c r="A36" s="76" t="s">
        <v>221</v>
      </c>
      <c r="B36" s="219" t="s">
        <v>214</v>
      </c>
      <c r="C36" s="220"/>
      <c r="D36" s="220"/>
      <c r="E36" s="101" t="s">
        <v>219</v>
      </c>
      <c r="F36" s="50" t="s">
        <v>136</v>
      </c>
      <c r="G36" s="23">
        <v>1.12</v>
      </c>
      <c r="H36" s="78">
        <f t="shared" si="0"/>
        <v>12146</v>
      </c>
    </row>
    <row r="37" spans="1:8" ht="15.75">
      <c r="A37" s="76" t="s">
        <v>222</v>
      </c>
      <c r="B37" s="227" t="s">
        <v>205</v>
      </c>
      <c r="C37" s="227"/>
      <c r="D37" s="227"/>
      <c r="E37" s="227"/>
      <c r="F37" s="227"/>
      <c r="G37" s="20">
        <f>SUM(G35:G36)</f>
        <v>11.21</v>
      </c>
      <c r="H37" s="78">
        <f t="shared" si="0"/>
        <v>121566</v>
      </c>
    </row>
    <row r="38" spans="1:8" ht="16.5" thickBot="1">
      <c r="A38" s="130" t="s">
        <v>97</v>
      </c>
      <c r="B38" s="228" t="s">
        <v>215</v>
      </c>
      <c r="C38" s="229"/>
      <c r="D38" s="230"/>
      <c r="E38" s="144" t="s">
        <v>219</v>
      </c>
      <c r="F38" s="132" t="s">
        <v>136</v>
      </c>
      <c r="G38" s="143">
        <v>0.8</v>
      </c>
      <c r="H38" s="148">
        <f t="shared" si="0"/>
        <v>8676</v>
      </c>
    </row>
    <row r="39" spans="1:5" ht="15.75" customHeight="1">
      <c r="A39" s="147"/>
      <c r="B39" s="243" t="s">
        <v>224</v>
      </c>
      <c r="C39" s="243"/>
      <c r="D39" s="243"/>
      <c r="E39" s="243"/>
    </row>
    <row r="40" ht="15.75" customHeight="1"/>
    <row r="41" spans="2:8" ht="15.75">
      <c r="B41" s="48" t="s">
        <v>225</v>
      </c>
      <c r="C41" s="48"/>
      <c r="D41" s="48"/>
      <c r="E41" s="33" t="s">
        <v>226</v>
      </c>
      <c r="F41" s="33"/>
      <c r="G41" s="33"/>
      <c r="H41" s="33"/>
    </row>
    <row r="43" spans="2:5" ht="15.75">
      <c r="B43" s="48" t="s">
        <v>227</v>
      </c>
      <c r="C43" s="48"/>
      <c r="D43" s="48"/>
      <c r="E43" t="s">
        <v>228</v>
      </c>
    </row>
  </sheetData>
  <mergeCells count="30">
    <mergeCell ref="B12:D12"/>
    <mergeCell ref="B14:F14"/>
    <mergeCell ref="B15:F15"/>
    <mergeCell ref="B22:D22"/>
    <mergeCell ref="B23:D23"/>
    <mergeCell ref="B24:D24"/>
    <mergeCell ref="B16:F16"/>
    <mergeCell ref="B17:F17"/>
    <mergeCell ref="B19:D19"/>
    <mergeCell ref="B20:D20"/>
    <mergeCell ref="B37:F37"/>
    <mergeCell ref="B38:D38"/>
    <mergeCell ref="B13:D13"/>
    <mergeCell ref="B39:E39"/>
    <mergeCell ref="B33:D33"/>
    <mergeCell ref="B34:D34"/>
    <mergeCell ref="B35:D35"/>
    <mergeCell ref="B29:D29"/>
    <mergeCell ref="B30:D30"/>
    <mergeCell ref="B31:D31"/>
    <mergeCell ref="C1:H1"/>
    <mergeCell ref="A4:H4"/>
    <mergeCell ref="B6:G6"/>
    <mergeCell ref="B36:D36"/>
    <mergeCell ref="B32:D32"/>
    <mergeCell ref="B25:D25"/>
    <mergeCell ref="B26:D26"/>
    <mergeCell ref="B27:D27"/>
    <mergeCell ref="B28:D28"/>
    <mergeCell ref="B21:D21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B1">
      <selection activeCell="G3" sqref="G1:H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875" style="0" customWidth="1"/>
    <col min="6" max="6" width="0.12890625" style="0" customWidth="1"/>
    <col min="7" max="7" width="9.375" style="0" hidden="1" customWidth="1"/>
    <col min="8" max="8" width="13.125" style="0" hidden="1" customWidth="1"/>
    <col min="9" max="9" width="12.00390625" style="0" customWidth="1"/>
    <col min="10" max="10" width="14.50390625" style="114" customWidth="1"/>
    <col min="11" max="11" width="18.75390625" style="0" customWidth="1"/>
    <col min="12" max="13" width="9.00390625" style="0" hidden="1" customWidth="1"/>
  </cols>
  <sheetData>
    <row r="1" spans="1:11" ht="110.25" customHeight="1">
      <c r="A1" s="179" t="s">
        <v>233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70.5" customHeight="1">
      <c r="A2" s="188" t="s">
        <v>234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0" ht="31.5">
      <c r="A3" s="1" t="s">
        <v>82</v>
      </c>
      <c r="B3" s="1" t="s">
        <v>84</v>
      </c>
      <c r="C3" s="2"/>
      <c r="D3" s="150" t="s">
        <v>235</v>
      </c>
      <c r="E3" s="26">
        <v>2711.1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3" ht="67.5" customHeight="1">
      <c r="A7" s="21" t="s">
        <v>61</v>
      </c>
      <c r="B7" s="175" t="s">
        <v>137</v>
      </c>
      <c r="C7" s="176"/>
      <c r="D7" s="177"/>
      <c r="E7" s="11" t="s">
        <v>6</v>
      </c>
      <c r="F7" s="11" t="s">
        <v>7</v>
      </c>
      <c r="G7" s="86" t="s">
        <v>236</v>
      </c>
      <c r="H7" s="151" t="s">
        <v>237</v>
      </c>
      <c r="I7" s="178" t="s">
        <v>238</v>
      </c>
      <c r="J7" s="168"/>
      <c r="K7" s="169"/>
      <c r="L7" s="56">
        <v>8</v>
      </c>
      <c r="M7" s="152" t="s">
        <v>239</v>
      </c>
    </row>
    <row r="8" spans="1:11" ht="15.75">
      <c r="A8" s="22">
        <v>1</v>
      </c>
      <c r="B8" s="195"/>
      <c r="C8" s="196"/>
      <c r="D8" s="196"/>
      <c r="E8" s="196"/>
      <c r="F8" s="197"/>
      <c r="G8" s="153"/>
      <c r="H8" s="153"/>
      <c r="I8" s="154" t="s">
        <v>139</v>
      </c>
      <c r="J8" s="89" t="s">
        <v>140</v>
      </c>
      <c r="K8" s="89" t="s">
        <v>141</v>
      </c>
    </row>
    <row r="9" spans="1:11" ht="15.75">
      <c r="A9" s="22"/>
      <c r="B9" s="195" t="s">
        <v>142</v>
      </c>
      <c r="C9" s="196"/>
      <c r="D9" s="196"/>
      <c r="E9" s="196"/>
      <c r="F9" s="197"/>
      <c r="G9" s="57"/>
      <c r="H9" s="57"/>
      <c r="I9" s="57"/>
      <c r="J9" s="57"/>
      <c r="K9" s="89"/>
    </row>
    <row r="10" spans="1:11" ht="15.75" customHeight="1">
      <c r="A10" s="91"/>
      <c r="B10" s="190" t="s">
        <v>143</v>
      </c>
      <c r="C10" s="190"/>
      <c r="D10" s="190"/>
      <c r="E10" s="190"/>
      <c r="F10" s="190"/>
      <c r="G10" s="15"/>
      <c r="H10" s="15"/>
      <c r="I10" s="92">
        <v>236496.22</v>
      </c>
      <c r="J10" s="77"/>
      <c r="K10" s="58">
        <f>I10+J10</f>
        <v>236496.22</v>
      </c>
    </row>
    <row r="11" spans="1:11" ht="15.75" customHeight="1">
      <c r="A11" s="91"/>
      <c r="B11" s="190" t="s">
        <v>144</v>
      </c>
      <c r="C11" s="190"/>
      <c r="D11" s="190"/>
      <c r="E11" s="190"/>
      <c r="F11" s="190"/>
      <c r="G11" s="15"/>
      <c r="H11" s="15"/>
      <c r="I11" s="16">
        <v>11753.48</v>
      </c>
      <c r="J11" s="77"/>
      <c r="K11" s="58">
        <f>I11+J11</f>
        <v>11753.48</v>
      </c>
    </row>
    <row r="12" spans="1:11" ht="15.75" customHeight="1">
      <c r="A12" s="22"/>
      <c r="B12" s="190" t="s">
        <v>145</v>
      </c>
      <c r="C12" s="190"/>
      <c r="D12" s="190"/>
      <c r="E12" s="190"/>
      <c r="F12" s="190"/>
      <c r="G12" s="15"/>
      <c r="H12" s="15"/>
      <c r="I12" s="92"/>
      <c r="J12" s="77">
        <v>0</v>
      </c>
      <c r="K12" s="58">
        <f>I12+J12</f>
        <v>0</v>
      </c>
    </row>
    <row r="13" spans="1:11" ht="15.75" customHeight="1">
      <c r="A13" s="22"/>
      <c r="B13" s="190" t="s">
        <v>146</v>
      </c>
      <c r="C13" s="190"/>
      <c r="D13" s="190"/>
      <c r="E13" s="190"/>
      <c r="F13" s="190"/>
      <c r="G13" s="15"/>
      <c r="H13" s="15"/>
      <c r="I13" s="92">
        <v>0</v>
      </c>
      <c r="J13" s="93">
        <v>0</v>
      </c>
      <c r="K13" s="58">
        <f>I13+J13</f>
        <v>0</v>
      </c>
    </row>
    <row r="14" spans="1:11" ht="15.75" customHeight="1">
      <c r="A14" s="22"/>
      <c r="B14" s="191" t="s">
        <v>147</v>
      </c>
      <c r="C14" s="191"/>
      <c r="D14" s="191"/>
      <c r="E14" s="191"/>
      <c r="F14" s="191"/>
      <c r="G14" s="15"/>
      <c r="H14" s="15"/>
      <c r="I14" s="41">
        <f>SUM(I10:I12)</f>
        <v>248249.7</v>
      </c>
      <c r="J14" s="94">
        <f>SUM(J10:J12)</f>
        <v>0</v>
      </c>
      <c r="K14" s="95">
        <f>SUM(K10:K13)</f>
        <v>248249.7</v>
      </c>
    </row>
    <row r="15" spans="1:11" ht="18.75" customHeight="1">
      <c r="A15" s="22">
        <v>2</v>
      </c>
      <c r="B15" s="245" t="s">
        <v>74</v>
      </c>
      <c r="C15" s="245"/>
      <c r="D15" s="245"/>
      <c r="E15" s="245"/>
      <c r="F15" s="245"/>
      <c r="G15" s="15"/>
      <c r="H15" s="15"/>
      <c r="I15" s="92"/>
      <c r="J15" s="77"/>
      <c r="K15" s="34"/>
    </row>
    <row r="16" spans="1:11" ht="15.75">
      <c r="A16" s="22" t="s">
        <v>148</v>
      </c>
      <c r="B16" s="155" t="s">
        <v>75</v>
      </c>
      <c r="C16" s="155"/>
      <c r="D16" s="155"/>
      <c r="E16" s="155"/>
      <c r="F16" s="156"/>
      <c r="G16" s="154"/>
      <c r="H16" s="154"/>
      <c r="I16" s="154"/>
      <c r="J16" s="85"/>
      <c r="K16" s="89"/>
    </row>
    <row r="17" spans="1:11" ht="15.75" customHeight="1">
      <c r="A17" s="96"/>
      <c r="B17" s="172" t="s">
        <v>240</v>
      </c>
      <c r="C17" s="172"/>
      <c r="D17" s="172"/>
      <c r="E17" s="97" t="s">
        <v>32</v>
      </c>
      <c r="F17" s="80" t="s">
        <v>24</v>
      </c>
      <c r="G17" s="81">
        <v>1.06</v>
      </c>
      <c r="H17" s="81">
        <v>1.12</v>
      </c>
      <c r="I17" s="98">
        <f>ROUND($E$3*G17*6,2)+ROUND($E$3*H17*($L$7-6),2)</f>
        <v>23315.46</v>
      </c>
      <c r="J17" s="99"/>
      <c r="K17" s="100">
        <f>SUM(I17:J17)</f>
        <v>23315.46</v>
      </c>
    </row>
    <row r="18" spans="1:11" ht="36" customHeight="1">
      <c r="A18" s="22"/>
      <c r="B18" s="167" t="s">
        <v>17</v>
      </c>
      <c r="C18" s="167"/>
      <c r="D18" s="167"/>
      <c r="E18" s="97" t="s">
        <v>32</v>
      </c>
      <c r="F18" s="80" t="s">
        <v>19</v>
      </c>
      <c r="G18" s="81">
        <v>0.28</v>
      </c>
      <c r="H18" s="81">
        <v>0.3</v>
      </c>
      <c r="I18" s="98">
        <f>ROUND($E$3*G18*6,2)+ROUND($E$3*H18*($L$7-6),2)</f>
        <v>6181.3099999999995</v>
      </c>
      <c r="J18" s="99"/>
      <c r="K18" s="100">
        <f aca="true" t="shared" si="0" ref="K18:K37">SUM(I18:J18)</f>
        <v>6181.3099999999995</v>
      </c>
    </row>
    <row r="19" spans="1:11" ht="20.25" customHeight="1">
      <c r="A19" s="22"/>
      <c r="B19" s="170" t="s">
        <v>23</v>
      </c>
      <c r="C19" s="170"/>
      <c r="D19" s="170"/>
      <c r="E19" s="101" t="s">
        <v>149</v>
      </c>
      <c r="F19" s="82" t="s">
        <v>20</v>
      </c>
      <c r="G19" s="81">
        <v>0.39</v>
      </c>
      <c r="H19" s="81">
        <v>0.41</v>
      </c>
      <c r="I19" s="98">
        <f>K19-J19</f>
        <v>6208.6</v>
      </c>
      <c r="J19" s="99"/>
      <c r="K19" s="102">
        <v>6208.6</v>
      </c>
    </row>
    <row r="20" spans="1:11" ht="20.25" customHeight="1">
      <c r="A20" s="96"/>
      <c r="B20" s="172" t="s">
        <v>31</v>
      </c>
      <c r="C20" s="172"/>
      <c r="D20" s="172"/>
      <c r="E20" s="103" t="s">
        <v>9</v>
      </c>
      <c r="F20" s="83" t="s">
        <v>10</v>
      </c>
      <c r="G20" s="81">
        <v>0.51</v>
      </c>
      <c r="H20" s="81">
        <v>0.54</v>
      </c>
      <c r="I20" s="98">
        <f>ROUND($E$3*G20*6,2)+ROUND($E$3*H20*($L$7-6),2)</f>
        <v>11223.96</v>
      </c>
      <c r="J20" s="99"/>
      <c r="K20" s="100">
        <f t="shared" si="0"/>
        <v>11223.96</v>
      </c>
    </row>
    <row r="21" spans="1:11" ht="55.5" customHeight="1">
      <c r="A21" s="22"/>
      <c r="B21" s="170" t="s">
        <v>27</v>
      </c>
      <c r="C21" s="170"/>
      <c r="D21" s="170"/>
      <c r="E21" s="101" t="s">
        <v>150</v>
      </c>
      <c r="F21" s="82" t="s">
        <v>25</v>
      </c>
      <c r="G21" s="81">
        <v>0.12</v>
      </c>
      <c r="H21" s="81">
        <v>0.13</v>
      </c>
      <c r="I21" s="98">
        <f>K21-J21</f>
        <v>1804</v>
      </c>
      <c r="J21" s="99"/>
      <c r="K21" s="102">
        <v>1804</v>
      </c>
    </row>
    <row r="22" spans="1:11" ht="20.25" customHeight="1">
      <c r="A22" s="96"/>
      <c r="B22" s="170" t="s">
        <v>11</v>
      </c>
      <c r="C22" s="170"/>
      <c r="D22" s="170"/>
      <c r="E22" s="101" t="s">
        <v>9</v>
      </c>
      <c r="F22" s="82" t="s">
        <v>12</v>
      </c>
      <c r="G22" s="81">
        <v>0</v>
      </c>
      <c r="H22" s="145">
        <v>0</v>
      </c>
      <c r="I22" s="98">
        <f>ROUND($E$3*G22*6,2)+ROUND($E$3*H22*($L$7-6),2)</f>
        <v>0</v>
      </c>
      <c r="J22" s="99"/>
      <c r="K22" s="100">
        <f t="shared" si="0"/>
        <v>0</v>
      </c>
    </row>
    <row r="23" spans="1:11" ht="31.5" customHeight="1">
      <c r="A23" s="96"/>
      <c r="B23" s="170" t="s">
        <v>26</v>
      </c>
      <c r="C23" s="171"/>
      <c r="D23" s="171"/>
      <c r="E23" s="104" t="s">
        <v>13</v>
      </c>
      <c r="F23" s="79" t="s">
        <v>14</v>
      </c>
      <c r="G23" s="81">
        <v>0.05</v>
      </c>
      <c r="H23" s="81">
        <v>0.05</v>
      </c>
      <c r="I23" s="98">
        <f>K23-J23</f>
        <v>3601.2</v>
      </c>
      <c r="J23" s="99"/>
      <c r="K23" s="102">
        <v>3601.2</v>
      </c>
    </row>
    <row r="24" spans="1:11" ht="56.25" customHeight="1">
      <c r="A24" s="22"/>
      <c r="B24" s="170" t="s">
        <v>151</v>
      </c>
      <c r="C24" s="170"/>
      <c r="D24" s="170"/>
      <c r="E24" s="97" t="s">
        <v>223</v>
      </c>
      <c r="F24" s="39" t="s">
        <v>81</v>
      </c>
      <c r="G24" s="81">
        <v>2.15</v>
      </c>
      <c r="H24" s="81">
        <v>2.28</v>
      </c>
      <c r="I24" s="98">
        <f>ROUND($E$3*G24*6,2)+ROUND($E$3*H24*($L$7-6),2)</f>
        <v>47335.810000000005</v>
      </c>
      <c r="J24" s="99"/>
      <c r="K24" s="100">
        <f t="shared" si="0"/>
        <v>47335.810000000005</v>
      </c>
    </row>
    <row r="25" spans="1:11" ht="52.5" customHeight="1">
      <c r="A25" s="22"/>
      <c r="B25" s="167" t="s">
        <v>15</v>
      </c>
      <c r="C25" s="167"/>
      <c r="D25" s="167"/>
      <c r="E25" s="97" t="s">
        <v>135</v>
      </c>
      <c r="F25" s="39" t="s">
        <v>81</v>
      </c>
      <c r="G25" s="81">
        <v>0.44</v>
      </c>
      <c r="H25" s="81">
        <v>0.47</v>
      </c>
      <c r="I25" s="98">
        <f>K25-J25</f>
        <v>9684.96</v>
      </c>
      <c r="J25" s="99"/>
      <c r="K25" s="100">
        <v>9684.96</v>
      </c>
    </row>
    <row r="26" spans="1:11" ht="30" customHeight="1">
      <c r="A26" s="22"/>
      <c r="B26" s="215" t="s">
        <v>37</v>
      </c>
      <c r="C26" s="213"/>
      <c r="D26" s="214"/>
      <c r="E26" s="97" t="s">
        <v>36</v>
      </c>
      <c r="F26" s="39" t="s">
        <v>81</v>
      </c>
      <c r="G26" s="36">
        <f>3.46-G27-G28</f>
        <v>3.46</v>
      </c>
      <c r="H26" s="81">
        <f>3.67-H27-H28</f>
        <v>3.67</v>
      </c>
      <c r="I26" s="98">
        <f>ROUND($E$3*G26*6,2)+ROUND($E$3*H26*($L$7-6),2)</f>
        <v>76181.91</v>
      </c>
      <c r="J26" s="106"/>
      <c r="K26" s="100">
        <f t="shared" si="0"/>
        <v>76181.91</v>
      </c>
    </row>
    <row r="27" spans="1:11" ht="26.25" customHeight="1">
      <c r="A27" s="96"/>
      <c r="B27" s="170" t="s">
        <v>152</v>
      </c>
      <c r="C27" s="170"/>
      <c r="D27" s="170"/>
      <c r="E27" s="101" t="s">
        <v>9</v>
      </c>
      <c r="F27" s="39" t="s">
        <v>81</v>
      </c>
      <c r="G27" s="36">
        <v>0</v>
      </c>
      <c r="H27" s="145">
        <v>0</v>
      </c>
      <c r="I27" s="157">
        <f>ROUND($E$3*G27*6,2)+ROUND($E$3*H27*($L$7-6),2)</f>
        <v>0</v>
      </c>
      <c r="J27" s="106"/>
      <c r="K27" s="100">
        <f t="shared" si="0"/>
        <v>0</v>
      </c>
    </row>
    <row r="28" spans="1:11" ht="28.5" customHeight="1">
      <c r="A28" s="22"/>
      <c r="B28" s="170" t="s">
        <v>153</v>
      </c>
      <c r="C28" s="170"/>
      <c r="D28" s="170"/>
      <c r="E28" s="101" t="s">
        <v>9</v>
      </c>
      <c r="F28" s="39" t="s">
        <v>81</v>
      </c>
      <c r="G28" s="36">
        <v>0</v>
      </c>
      <c r="H28" s="145">
        <v>0</v>
      </c>
      <c r="I28" s="157">
        <f>ROUND($E$3*G28*6,2)+ROUND($E$3*H28*($L$7-6),2)</f>
        <v>0</v>
      </c>
      <c r="J28" s="106"/>
      <c r="K28" s="100">
        <f t="shared" si="0"/>
        <v>0</v>
      </c>
    </row>
    <row r="29" spans="1:11" ht="27" customHeight="1">
      <c r="A29" s="22"/>
      <c r="B29" s="171" t="s">
        <v>21</v>
      </c>
      <c r="C29" s="171"/>
      <c r="D29" s="171"/>
      <c r="E29" s="97" t="s">
        <v>36</v>
      </c>
      <c r="F29" s="39" t="s">
        <v>81</v>
      </c>
      <c r="G29" s="79">
        <v>1.06</v>
      </c>
      <c r="H29" s="81">
        <v>1.12</v>
      </c>
      <c r="I29" s="98">
        <f>ROUND($E$3*G29*6,2)+ROUND($E$3*H29*($L$7-6),2)</f>
        <v>23315.46</v>
      </c>
      <c r="J29" s="99"/>
      <c r="K29" s="100">
        <f t="shared" si="0"/>
        <v>23315.46</v>
      </c>
    </row>
    <row r="30" spans="1:11" ht="15.75">
      <c r="A30" s="22"/>
      <c r="B30" s="212"/>
      <c r="C30" s="213"/>
      <c r="D30" s="214"/>
      <c r="E30" s="158"/>
      <c r="F30" s="39"/>
      <c r="G30" s="79"/>
      <c r="H30" s="79"/>
      <c r="I30" s="105"/>
      <c r="J30" s="93"/>
      <c r="K30" s="159"/>
    </row>
    <row r="31" spans="1:11" ht="15.75">
      <c r="A31" s="22"/>
      <c r="B31" s="244" t="s">
        <v>30</v>
      </c>
      <c r="C31" s="244"/>
      <c r="D31" s="244"/>
      <c r="E31" s="22"/>
      <c r="F31" s="39"/>
      <c r="G31" s="23">
        <f>SUM(G17:G29)</f>
        <v>9.520000000000001</v>
      </c>
      <c r="H31" s="23">
        <f>SUM(H17:H29)</f>
        <v>10.09</v>
      </c>
      <c r="I31" s="95">
        <f>SUM(I17:I30)</f>
        <v>208852.66999999998</v>
      </c>
      <c r="J31" s="94"/>
      <c r="K31" s="95">
        <f>SUM(K17:K30)</f>
        <v>208852.66999999998</v>
      </c>
    </row>
    <row r="32" spans="1:11" ht="15.75" hidden="1">
      <c r="A32" s="22"/>
      <c r="B32" s="209" t="s">
        <v>154</v>
      </c>
      <c r="C32" s="210"/>
      <c r="D32" s="211"/>
      <c r="E32" s="158" t="s">
        <v>9</v>
      </c>
      <c r="F32" s="39"/>
      <c r="G32" s="79"/>
      <c r="H32" s="79"/>
      <c r="I32" s="105"/>
      <c r="J32" s="93"/>
      <c r="K32" s="159"/>
    </row>
    <row r="33" spans="1:11" ht="25.5" hidden="1">
      <c r="A33" s="22"/>
      <c r="B33" s="209" t="s">
        <v>155</v>
      </c>
      <c r="C33" s="210"/>
      <c r="D33" s="211"/>
      <c r="E33" s="160" t="s">
        <v>36</v>
      </c>
      <c r="F33" s="39"/>
      <c r="G33" s="79"/>
      <c r="H33" s="79"/>
      <c r="I33" s="105"/>
      <c r="J33" s="93"/>
      <c r="K33" s="159"/>
    </row>
    <row r="34" spans="1:11" ht="15.75" hidden="1">
      <c r="A34" s="22"/>
      <c r="B34" s="212"/>
      <c r="C34" s="213"/>
      <c r="D34" s="214"/>
      <c r="E34" s="158"/>
      <c r="F34" s="39"/>
      <c r="G34" s="79"/>
      <c r="H34" s="79"/>
      <c r="I34" s="105"/>
      <c r="J34" s="93"/>
      <c r="K34" s="159"/>
    </row>
    <row r="35" spans="1:11" ht="38.25" customHeight="1">
      <c r="A35" s="22" t="s">
        <v>156</v>
      </c>
      <c r="B35" s="219" t="s">
        <v>157</v>
      </c>
      <c r="C35" s="220"/>
      <c r="D35" s="220"/>
      <c r="E35" s="221"/>
      <c r="F35" s="39" t="s">
        <v>81</v>
      </c>
      <c r="G35" s="23">
        <f>I35/E3/6</f>
        <v>0.4681371644965758</v>
      </c>
      <c r="H35" s="23">
        <v>0</v>
      </c>
      <c r="I35" s="161">
        <v>7615</v>
      </c>
      <c r="J35" s="110"/>
      <c r="K35" s="95">
        <f t="shared" si="0"/>
        <v>7615</v>
      </c>
    </row>
    <row r="36" spans="1:11" ht="15" customHeight="1">
      <c r="A36" s="25"/>
      <c r="B36" s="216" t="s">
        <v>76</v>
      </c>
      <c r="C36" s="216"/>
      <c r="D36" s="216"/>
      <c r="E36" s="216"/>
      <c r="F36" s="216"/>
      <c r="G36" s="23">
        <f>SUM(G31:G35)</f>
        <v>9.988137164496576</v>
      </c>
      <c r="H36" s="23">
        <f>SUM(H31:H35)</f>
        <v>10.09</v>
      </c>
      <c r="I36" s="162">
        <f>SUM(I31:I35)</f>
        <v>216467.66999999998</v>
      </c>
      <c r="J36" s="163"/>
      <c r="K36" s="163">
        <f>SUM(K31:K35)</f>
        <v>216467.66999999998</v>
      </c>
    </row>
    <row r="37" spans="1:11" ht="14.25" customHeight="1">
      <c r="A37" s="22" t="s">
        <v>158</v>
      </c>
      <c r="B37" s="216" t="s">
        <v>159</v>
      </c>
      <c r="C37" s="216"/>
      <c r="D37" s="216"/>
      <c r="E37" s="216"/>
      <c r="F37" s="216"/>
      <c r="G37" s="23"/>
      <c r="H37" s="23"/>
      <c r="I37" s="112">
        <v>0</v>
      </c>
      <c r="J37" s="112"/>
      <c r="K37" s="113">
        <f t="shared" si="0"/>
        <v>0</v>
      </c>
    </row>
    <row r="38" spans="1:11" ht="18.75">
      <c r="A38" s="25"/>
      <c r="B38" s="216" t="s">
        <v>160</v>
      </c>
      <c r="C38" s="216"/>
      <c r="D38" s="216"/>
      <c r="E38" s="216"/>
      <c r="F38" s="216"/>
      <c r="G38" s="23">
        <f>SUM(G36:G37)</f>
        <v>9.988137164496576</v>
      </c>
      <c r="H38" s="23">
        <f>SUM(H36:H37)</f>
        <v>10.09</v>
      </c>
      <c r="I38" s="162">
        <f>SUM(I36:I37)</f>
        <v>216467.66999999998</v>
      </c>
      <c r="J38" s="163"/>
      <c r="K38" s="163">
        <f>SUM(K36:K37)</f>
        <v>216467.66999999998</v>
      </c>
    </row>
    <row r="39" spans="1:11" ht="15" customHeight="1">
      <c r="A39" s="22">
        <v>3</v>
      </c>
      <c r="B39" s="238" t="s">
        <v>241</v>
      </c>
      <c r="C39" s="186"/>
      <c r="D39" s="186"/>
      <c r="E39" s="186"/>
      <c r="F39" s="186"/>
      <c r="G39" s="187"/>
      <c r="H39" s="149"/>
      <c r="I39" s="98">
        <f>I14-I38</f>
        <v>31782.030000000028</v>
      </c>
      <c r="J39" s="98"/>
      <c r="K39" s="94">
        <f>K14-K38</f>
        <v>31782.030000000028</v>
      </c>
    </row>
    <row r="40" spans="2:10" ht="15.75" customHeight="1">
      <c r="B40" s="33"/>
      <c r="F40" s="33"/>
      <c r="J40"/>
    </row>
    <row r="41" spans="2:10" ht="15.75">
      <c r="B41" s="218" t="s">
        <v>242</v>
      </c>
      <c r="C41" s="218"/>
      <c r="D41" s="218"/>
      <c r="E41" s="218"/>
      <c r="F41" s="218"/>
      <c r="G41" s="218"/>
      <c r="H41" s="218"/>
      <c r="I41" s="218"/>
      <c r="J41" s="218"/>
    </row>
    <row r="42" spans="2:10" ht="15.75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33" t="s">
        <v>243</v>
      </c>
      <c r="C44" s="33"/>
      <c r="D44" s="33"/>
      <c r="E44" s="33"/>
      <c r="F44" s="33"/>
      <c r="G44" s="33"/>
      <c r="H44" s="33"/>
      <c r="I44" s="33"/>
      <c r="J44"/>
    </row>
    <row r="45" spans="2:10" ht="15.75" customHeight="1">
      <c r="B45" s="184" t="s">
        <v>86</v>
      </c>
      <c r="C45" s="184"/>
      <c r="D45" s="184"/>
      <c r="J45"/>
    </row>
    <row r="46" ht="15.75">
      <c r="J46"/>
    </row>
    <row r="47" spans="2:10" ht="15.75">
      <c r="B47" t="s">
        <v>244</v>
      </c>
      <c r="J47"/>
    </row>
    <row r="48" ht="15.75">
      <c r="J48"/>
    </row>
    <row r="49" ht="15.75">
      <c r="J49"/>
    </row>
    <row r="50" ht="15.75">
      <c r="J50"/>
    </row>
    <row r="51" ht="15.75">
      <c r="J51"/>
    </row>
  </sheetData>
  <mergeCells count="37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24:D24"/>
    <mergeCell ref="B25:D25"/>
    <mergeCell ref="B18:D18"/>
    <mergeCell ref="B19:D19"/>
    <mergeCell ref="B20:D20"/>
    <mergeCell ref="B21:D21"/>
    <mergeCell ref="B30:D30"/>
    <mergeCell ref="B31:D31"/>
    <mergeCell ref="B32:D32"/>
    <mergeCell ref="I7:K7"/>
    <mergeCell ref="B26:D26"/>
    <mergeCell ref="B27:D27"/>
    <mergeCell ref="B28:D28"/>
    <mergeCell ref="B29:D29"/>
    <mergeCell ref="B22:D22"/>
    <mergeCell ref="B23:D23"/>
    <mergeCell ref="B41:J41"/>
    <mergeCell ref="B45:D45"/>
    <mergeCell ref="B37:F37"/>
    <mergeCell ref="B38:F38"/>
    <mergeCell ref="B39:G39"/>
    <mergeCell ref="B33:D33"/>
    <mergeCell ref="B34:D34"/>
    <mergeCell ref="B35:E35"/>
    <mergeCell ref="B36:F36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A13" sqref="A13:H24"/>
    </sheetView>
  </sheetViews>
  <sheetFormatPr defaultColWidth="9.00390625" defaultRowHeight="15.75"/>
  <cols>
    <col min="1" max="1" width="11.50390625" style="115" bestFit="1" customWidth="1"/>
    <col min="2" max="2" width="6.125" style="115" customWidth="1"/>
    <col min="3" max="3" width="11.375" style="115" bestFit="1" customWidth="1"/>
    <col min="4" max="4" width="9.875" style="115" bestFit="1" customWidth="1"/>
    <col min="5" max="6" width="11.375" style="115" bestFit="1" customWidth="1"/>
    <col min="7" max="7" width="10.75390625" style="115" customWidth="1"/>
    <col min="8" max="8" width="12.625" style="115" customWidth="1"/>
    <col min="9" max="9" width="11.625" style="115" customWidth="1"/>
    <col min="10" max="10" width="8.875" style="115" bestFit="1" customWidth="1"/>
    <col min="11" max="11" width="10.125" style="115" customWidth="1"/>
    <col min="12" max="12" width="11.75390625" style="115" bestFit="1" customWidth="1"/>
    <col min="13" max="13" width="12.625" style="115" bestFit="1" customWidth="1"/>
    <col min="14" max="14" width="11.00390625" style="115" bestFit="1" customWidth="1"/>
    <col min="15" max="15" width="12.625" style="115" bestFit="1" customWidth="1"/>
    <col min="16" max="16" width="11.00390625" style="115" bestFit="1" customWidth="1"/>
    <col min="17" max="17" width="13.625" style="115" customWidth="1"/>
    <col min="18" max="18" width="12.625" style="115" bestFit="1" customWidth="1"/>
    <col min="19" max="19" width="11.875" style="115" customWidth="1"/>
    <col min="20" max="16384" width="9.00390625" style="115" customWidth="1"/>
  </cols>
  <sheetData>
    <row r="1" spans="1:19" ht="109.5" customHeight="1">
      <c r="A1" s="246" t="s">
        <v>196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15.75" customHeight="1">
      <c r="A2" s="247" t="s">
        <v>163</v>
      </c>
      <c r="B2" s="248" t="s">
        <v>164</v>
      </c>
      <c r="C2" s="248" t="s">
        <v>165</v>
      </c>
      <c r="D2" s="248"/>
      <c r="E2" s="248"/>
      <c r="F2" s="248"/>
      <c r="G2" s="248"/>
      <c r="H2" s="248"/>
      <c r="I2" s="248"/>
      <c r="J2" s="249" t="s">
        <v>166</v>
      </c>
      <c r="K2" s="249"/>
      <c r="L2" s="249"/>
      <c r="M2" s="250" t="s">
        <v>167</v>
      </c>
      <c r="N2" s="248" t="s">
        <v>168</v>
      </c>
      <c r="O2" s="248"/>
      <c r="P2" s="248"/>
      <c r="Q2" s="248"/>
      <c r="R2" s="248"/>
      <c r="S2" s="253" t="s">
        <v>169</v>
      </c>
    </row>
    <row r="3" spans="1:19" ht="15.75">
      <c r="A3" s="248"/>
      <c r="B3" s="248"/>
      <c r="C3" s="254" t="s">
        <v>170</v>
      </c>
      <c r="D3" s="255"/>
      <c r="E3" s="256"/>
      <c r="F3" s="254" t="s">
        <v>171</v>
      </c>
      <c r="G3" s="255"/>
      <c r="H3" s="256"/>
      <c r="I3" s="247" t="s">
        <v>172</v>
      </c>
      <c r="J3" s="250" t="s">
        <v>173</v>
      </c>
      <c r="K3" s="258" t="s">
        <v>174</v>
      </c>
      <c r="L3" s="250" t="s">
        <v>175</v>
      </c>
      <c r="M3" s="251"/>
      <c r="N3" s="247" t="s">
        <v>176</v>
      </c>
      <c r="O3" s="248" t="s">
        <v>177</v>
      </c>
      <c r="P3" s="248" t="s">
        <v>178</v>
      </c>
      <c r="Q3" s="248" t="s">
        <v>179</v>
      </c>
      <c r="R3" s="248" t="s">
        <v>180</v>
      </c>
      <c r="S3" s="253"/>
    </row>
    <row r="4" spans="1:19" ht="47.25" customHeight="1">
      <c r="A4" s="248"/>
      <c r="B4" s="248"/>
      <c r="C4" s="116" t="s">
        <v>181</v>
      </c>
      <c r="D4" s="117" t="s">
        <v>179</v>
      </c>
      <c r="E4" s="117" t="s">
        <v>180</v>
      </c>
      <c r="F4" s="116" t="s">
        <v>181</v>
      </c>
      <c r="G4" s="117" t="s">
        <v>179</v>
      </c>
      <c r="H4" s="117" t="s">
        <v>180</v>
      </c>
      <c r="I4" s="247"/>
      <c r="J4" s="257"/>
      <c r="K4" s="252"/>
      <c r="L4" s="257"/>
      <c r="M4" s="252"/>
      <c r="N4" s="248"/>
      <c r="O4" s="248"/>
      <c r="P4" s="248"/>
      <c r="Q4" s="248"/>
      <c r="R4" s="248"/>
      <c r="S4" s="253"/>
    </row>
    <row r="5" spans="1:19" ht="31.5">
      <c r="A5" s="117">
        <v>1</v>
      </c>
      <c r="B5" s="117">
        <v>2</v>
      </c>
      <c r="C5" s="116">
        <v>3</v>
      </c>
      <c r="D5" s="117">
        <v>4</v>
      </c>
      <c r="E5" s="117" t="s">
        <v>182</v>
      </c>
      <c r="F5" s="116">
        <v>6</v>
      </c>
      <c r="G5" s="117">
        <v>7</v>
      </c>
      <c r="H5" s="117" t="s">
        <v>183</v>
      </c>
      <c r="I5" s="116" t="s">
        <v>184</v>
      </c>
      <c r="J5" s="117">
        <v>10</v>
      </c>
      <c r="K5" s="117">
        <v>11</v>
      </c>
      <c r="L5" s="116">
        <v>12</v>
      </c>
      <c r="M5" s="116" t="s">
        <v>185</v>
      </c>
      <c r="N5" s="117">
        <v>14</v>
      </c>
      <c r="O5" s="116">
        <v>15</v>
      </c>
      <c r="P5" s="117">
        <v>16</v>
      </c>
      <c r="Q5" s="117">
        <v>17</v>
      </c>
      <c r="R5" s="116" t="s">
        <v>186</v>
      </c>
      <c r="S5" s="118" t="s">
        <v>187</v>
      </c>
    </row>
    <row r="6" spans="1:19" ht="15.75">
      <c r="A6" s="119"/>
      <c r="B6" s="120" t="s">
        <v>188</v>
      </c>
      <c r="C6" s="119">
        <f>'2008'!D9</f>
        <v>193662.92</v>
      </c>
      <c r="D6" s="119">
        <f>'2008'!D13</f>
        <v>9944.14</v>
      </c>
      <c r="E6" s="119">
        <f>SUM(C6:D6)</f>
        <v>203607.06</v>
      </c>
      <c r="F6" s="119">
        <f>'2008'!D10</f>
        <v>168806.55</v>
      </c>
      <c r="G6" s="119">
        <f>'2008'!D14</f>
        <v>9195.16</v>
      </c>
      <c r="H6" s="119">
        <f>SUM(F6:G6)</f>
        <v>178001.71</v>
      </c>
      <c r="I6" s="121">
        <f>E6-H6</f>
        <v>25605.350000000006</v>
      </c>
      <c r="J6" s="119">
        <v>0</v>
      </c>
      <c r="K6" s="119">
        <v>0</v>
      </c>
      <c r="L6" s="119">
        <v>0</v>
      </c>
      <c r="M6" s="119">
        <f>H6+J6+K6+L6</f>
        <v>178001.71</v>
      </c>
      <c r="N6" s="119">
        <f>'2008'!D23</f>
        <v>21302.9212</v>
      </c>
      <c r="O6" s="119">
        <f>'2008'!D24</f>
        <v>135564.044</v>
      </c>
      <c r="P6" s="119">
        <f>'2008'!D25</f>
        <v>75910</v>
      </c>
      <c r="Q6" s="121">
        <v>0</v>
      </c>
      <c r="R6" s="119">
        <f>SUM(N6:Q6)</f>
        <v>232776.9652</v>
      </c>
      <c r="S6" s="119">
        <f>M6-R6</f>
        <v>-54775.255200000014</v>
      </c>
    </row>
    <row r="7" spans="1:19" ht="15.75">
      <c r="A7" s="119">
        <f>S6</f>
        <v>-54775.255200000014</v>
      </c>
      <c r="B7" s="120" t="s">
        <v>189</v>
      </c>
      <c r="C7" s="119">
        <f>'отчет 2009'!H10</f>
        <v>281123.45</v>
      </c>
      <c r="D7" s="119">
        <v>14306.03</v>
      </c>
      <c r="E7" s="119">
        <f>SUM(C7:D7)</f>
        <v>295429.48000000004</v>
      </c>
      <c r="F7" s="119">
        <f>'отчет 2009'!H13</f>
        <v>273365.22</v>
      </c>
      <c r="G7" s="119">
        <v>14218.92</v>
      </c>
      <c r="H7" s="119">
        <f>SUM(F7:G7)</f>
        <v>287584.13999999996</v>
      </c>
      <c r="I7" s="121">
        <f>E7-H7</f>
        <v>7845.340000000084</v>
      </c>
      <c r="J7" s="119">
        <v>0</v>
      </c>
      <c r="K7" s="119">
        <v>0</v>
      </c>
      <c r="L7" s="119">
        <v>0</v>
      </c>
      <c r="M7" s="119">
        <f>H7+J7+K7+L7</f>
        <v>287584.13999999996</v>
      </c>
      <c r="N7" s="119">
        <f>'отчет 2009'!H31</f>
        <v>28567.97</v>
      </c>
      <c r="O7" s="119">
        <f>'отчет 2009'!H32-'отчет 2009'!H31</f>
        <v>227569.84</v>
      </c>
      <c r="P7" s="119">
        <f>'отчет 2009'!H33</f>
        <v>133290</v>
      </c>
      <c r="Q7" s="121">
        <v>0</v>
      </c>
      <c r="R7" s="119">
        <f>SUM(N7:Q7)</f>
        <v>389427.81</v>
      </c>
      <c r="S7" s="119">
        <f>M7-R7</f>
        <v>-101843.67000000004</v>
      </c>
    </row>
    <row r="8" spans="1:19" ht="15.75">
      <c r="A8" s="119">
        <f>A7+S7</f>
        <v>-156618.92520000006</v>
      </c>
      <c r="B8" s="120" t="s">
        <v>190</v>
      </c>
      <c r="C8" s="119">
        <v>297739.8</v>
      </c>
      <c r="D8" s="119">
        <v>15095.43</v>
      </c>
      <c r="E8" s="119">
        <f>SUM(C8:D8)</f>
        <v>312835.23</v>
      </c>
      <c r="F8" s="119">
        <f>'отчет 2010'!H10</f>
        <v>266166.34</v>
      </c>
      <c r="G8" s="119">
        <f>'отчет 2010'!H11</f>
        <v>14692.65</v>
      </c>
      <c r="H8" s="119">
        <f>SUM(F8:G8)</f>
        <v>280858.99000000005</v>
      </c>
      <c r="I8" s="121">
        <f>E8-H8</f>
        <v>31976.239999999932</v>
      </c>
      <c r="J8" s="119">
        <v>0</v>
      </c>
      <c r="K8" s="119">
        <v>0</v>
      </c>
      <c r="L8" s="119">
        <v>0</v>
      </c>
      <c r="M8" s="119">
        <f>H8+J8+K8+L8</f>
        <v>280858.99000000005</v>
      </c>
      <c r="N8" s="119">
        <f>'отчет 2010'!J29</f>
        <v>29866.51</v>
      </c>
      <c r="O8" s="119">
        <f>'отчет 2010'!J34-'отчет 2010'!J29</f>
        <v>239514.24</v>
      </c>
      <c r="P8" s="119">
        <f>'отчет 2010'!H35</f>
        <v>48700</v>
      </c>
      <c r="Q8" s="121">
        <f>'отчет 2010'!H37</f>
        <v>177931</v>
      </c>
      <c r="R8" s="119">
        <f>SUM(N8:Q8)</f>
        <v>496011.75</v>
      </c>
      <c r="S8" s="119">
        <f>M8-R8</f>
        <v>-215152.75999999995</v>
      </c>
    </row>
    <row r="9" spans="1:19" ht="15.75">
      <c r="A9" s="119">
        <f>A8+S8</f>
        <v>-371771.6852</v>
      </c>
      <c r="B9" s="120" t="s">
        <v>191</v>
      </c>
      <c r="C9" s="119">
        <v>342584.43</v>
      </c>
      <c r="D9" s="119">
        <v>17775.56</v>
      </c>
      <c r="E9" s="119">
        <f>SUM(C9:D9)</f>
        <v>360359.99</v>
      </c>
      <c r="F9" s="119">
        <f>'отчет  2011'!H10</f>
        <v>330390.44</v>
      </c>
      <c r="G9" s="119">
        <f>'отчет  2011'!H11</f>
        <v>17610.62</v>
      </c>
      <c r="H9" s="119">
        <f>SUM(F9:G9)</f>
        <v>348001.06</v>
      </c>
      <c r="I9" s="121">
        <f>E9-H9</f>
        <v>12358.929999999993</v>
      </c>
      <c r="J9" s="119">
        <f>'отчет  2011'!I12</f>
        <v>0</v>
      </c>
      <c r="K9" s="119">
        <f>'отчет  2011'!I13</f>
        <v>0</v>
      </c>
      <c r="L9" s="119">
        <f>'отчет  2011'!H13</f>
        <v>0</v>
      </c>
      <c r="M9" s="119">
        <f>H9+J9+K9+L9</f>
        <v>348001.06</v>
      </c>
      <c r="N9" s="119">
        <f>'отчет  2011'!J29</f>
        <v>34411.42</v>
      </c>
      <c r="O9" s="119">
        <f>'отчет  2011'!J31-'отчет  2011'!J29</f>
        <v>277024.15</v>
      </c>
      <c r="P9" s="119">
        <f>'отчет  2011'!H35</f>
        <v>105397</v>
      </c>
      <c r="Q9" s="122">
        <f>'отчет  2011'!H37</f>
        <v>0</v>
      </c>
      <c r="R9" s="119">
        <f>SUM(N9:Q9)</f>
        <v>416832.57</v>
      </c>
      <c r="S9" s="119">
        <f>M9-R9</f>
        <v>-68831.51000000001</v>
      </c>
    </row>
    <row r="10" spans="1:19" ht="15.75">
      <c r="A10" s="119">
        <f>A9+S9</f>
        <v>-440603.1952</v>
      </c>
      <c r="B10" s="120" t="s">
        <v>192</v>
      </c>
      <c r="C10" s="119">
        <v>232019.23</v>
      </c>
      <c r="D10" s="119">
        <v>12006.54</v>
      </c>
      <c r="E10" s="119">
        <f>SUM(C10:D10)</f>
        <v>244025.77000000002</v>
      </c>
      <c r="F10" s="119">
        <f>'отчет12(01-08)'!I10</f>
        <v>236496.22</v>
      </c>
      <c r="G10" s="119">
        <f>'отчет12(01-08)'!I11</f>
        <v>11753.48</v>
      </c>
      <c r="H10" s="119">
        <f>SUM(F10:G10)</f>
        <v>248249.7</v>
      </c>
      <c r="I10" s="121">
        <f>E10-H10</f>
        <v>-4223.929999999993</v>
      </c>
      <c r="J10" s="119">
        <v>0</v>
      </c>
      <c r="K10" s="119">
        <v>0</v>
      </c>
      <c r="L10" s="119">
        <v>0</v>
      </c>
      <c r="M10" s="119">
        <f>H10+J10+K10+L10</f>
        <v>248249.7</v>
      </c>
      <c r="N10" s="119">
        <f>'отчет12(01-08)'!K29</f>
        <v>23315.46</v>
      </c>
      <c r="O10" s="119">
        <f>'отчет12(01-08)'!K31-'отчет12(01-08)'!K29</f>
        <v>185537.21</v>
      </c>
      <c r="P10" s="119">
        <f>'отчет12(01-08)'!I35</f>
        <v>7615</v>
      </c>
      <c r="Q10" s="122">
        <f>'отчет12(01-08)'!I37</f>
        <v>0</v>
      </c>
      <c r="R10" s="119">
        <f>SUM(N10:Q10)</f>
        <v>216467.66999999998</v>
      </c>
      <c r="S10" s="119">
        <f>M10-R10</f>
        <v>31782.030000000028</v>
      </c>
    </row>
    <row r="11" spans="1:19" ht="15.75">
      <c r="A11" s="122"/>
      <c r="B11" s="120" t="s">
        <v>193</v>
      </c>
      <c r="C11" s="123">
        <f aca="true" t="shared" si="0" ref="C11:S11">SUM(C6:C10)</f>
        <v>1347129.8299999998</v>
      </c>
      <c r="D11" s="123">
        <f t="shared" si="0"/>
        <v>69127.70000000001</v>
      </c>
      <c r="E11" s="123">
        <f t="shared" si="0"/>
        <v>1416257.53</v>
      </c>
      <c r="F11" s="123">
        <f t="shared" si="0"/>
        <v>1275224.77</v>
      </c>
      <c r="G11" s="123">
        <f t="shared" si="0"/>
        <v>67470.83</v>
      </c>
      <c r="H11" s="123">
        <f t="shared" si="0"/>
        <v>1342695.6</v>
      </c>
      <c r="I11" s="123">
        <f t="shared" si="0"/>
        <v>73561.93000000002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1342695.6</v>
      </c>
      <c r="N11" s="123">
        <f t="shared" si="0"/>
        <v>137464.2812</v>
      </c>
      <c r="O11" s="123">
        <f t="shared" si="0"/>
        <v>1065209.484</v>
      </c>
      <c r="P11" s="123">
        <f t="shared" si="0"/>
        <v>370912</v>
      </c>
      <c r="Q11" s="123">
        <f t="shared" si="0"/>
        <v>177931</v>
      </c>
      <c r="R11" s="123">
        <f t="shared" si="0"/>
        <v>1751516.7652</v>
      </c>
      <c r="S11" s="123">
        <f t="shared" si="0"/>
        <v>-408821.1652</v>
      </c>
    </row>
    <row r="13" spans="1:8" ht="18.75" customHeight="1">
      <c r="A13" s="259" t="s">
        <v>245</v>
      </c>
      <c r="B13" s="259"/>
      <c r="C13" s="259"/>
      <c r="D13" s="259"/>
      <c r="E13" s="259" t="s">
        <v>246</v>
      </c>
      <c r="F13" s="259"/>
      <c r="G13" s="259"/>
      <c r="H13" s="259"/>
    </row>
    <row r="14" spans="1:8" ht="18.75">
      <c r="A14" s="164"/>
      <c r="B14" s="164"/>
      <c r="C14" s="164"/>
      <c r="D14" s="164"/>
      <c r="E14" s="164"/>
      <c r="F14" s="164"/>
      <c r="G14" s="164"/>
      <c r="H14" s="164"/>
    </row>
    <row r="15" spans="1:8" ht="15.75">
      <c r="A15"/>
      <c r="B15"/>
      <c r="C15"/>
      <c r="D15"/>
      <c r="E15"/>
      <c r="F15"/>
      <c r="G15"/>
      <c r="H15"/>
    </row>
    <row r="16" spans="1:8" ht="18.75">
      <c r="A16"/>
      <c r="B16" s="165"/>
      <c r="C16" s="165"/>
      <c r="D16"/>
      <c r="E16"/>
      <c r="F16"/>
      <c r="G16"/>
      <c r="H16"/>
    </row>
    <row r="17" spans="1:8" ht="18.75">
      <c r="A17" s="166" t="s">
        <v>247</v>
      </c>
      <c r="B17" s="166"/>
      <c r="C17" s="164"/>
      <c r="D17"/>
      <c r="E17"/>
      <c r="F17"/>
      <c r="G17"/>
      <c r="H17"/>
    </row>
    <row r="18" spans="1:8" ht="18.75">
      <c r="A18" s="166" t="s">
        <v>248</v>
      </c>
      <c r="B18" s="166"/>
      <c r="C18" s="166"/>
      <c r="D18"/>
      <c r="E18"/>
      <c r="F18"/>
      <c r="G18"/>
      <c r="H18"/>
    </row>
    <row r="19" spans="1:8" ht="37.5" customHeight="1">
      <c r="A19" s="1" t="s">
        <v>249</v>
      </c>
      <c r="B19" s="1"/>
      <c r="C19"/>
      <c r="D19"/>
      <c r="E19" s="259" t="s">
        <v>250</v>
      </c>
      <c r="F19" s="259"/>
      <c r="G19" s="259"/>
      <c r="H19"/>
    </row>
    <row r="20" spans="1:8" ht="15.75">
      <c r="A20"/>
      <c r="B20"/>
      <c r="C20"/>
      <c r="D20"/>
      <c r="E20"/>
      <c r="F20"/>
      <c r="G20"/>
      <c r="H20"/>
    </row>
    <row r="21" spans="1:8" ht="15.75">
      <c r="A21"/>
      <c r="B21"/>
      <c r="C21"/>
      <c r="D21"/>
      <c r="E21"/>
      <c r="F21"/>
      <c r="G21"/>
      <c r="H21"/>
    </row>
    <row r="22" spans="1:8" ht="15.75">
      <c r="A22" t="s">
        <v>244</v>
      </c>
      <c r="B22"/>
      <c r="C22"/>
      <c r="D22"/>
      <c r="E22"/>
      <c r="F22"/>
      <c r="G22"/>
      <c r="H22"/>
    </row>
    <row r="23" spans="1:8" ht="15.75">
      <c r="A23"/>
      <c r="B23"/>
      <c r="C23"/>
      <c r="D23"/>
      <c r="E23"/>
      <c r="F23"/>
      <c r="G23"/>
      <c r="H23"/>
    </row>
    <row r="24" spans="1:8" ht="15.75">
      <c r="A24"/>
      <c r="B24"/>
      <c r="C24"/>
      <c r="D24"/>
      <c r="E24"/>
      <c r="F24"/>
      <c r="G24"/>
      <c r="H24"/>
    </row>
  </sheetData>
  <sheetProtection/>
  <mergeCells count="22">
    <mergeCell ref="A13:D13"/>
    <mergeCell ref="E13:H13"/>
    <mergeCell ref="E19:G19"/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2013-02-26T08:52:12Z</cp:lastPrinted>
  <dcterms:created xsi:type="dcterms:W3CDTF">2009-08-26T03:25:10Z</dcterms:created>
  <dcterms:modified xsi:type="dcterms:W3CDTF">2013-03-25T08:20:03Z</dcterms:modified>
  <cp:category/>
  <cp:version/>
  <cp:contentType/>
  <cp:contentStatus/>
</cp:coreProperties>
</file>