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61" yWindow="65476" windowWidth="15480" windowHeight="11640" tabRatio="646" firstSheet="7" activeTab="7"/>
  </bookViews>
  <sheets>
    <sheet name="2008" sheetId="1" r:id="rId1"/>
    <sheet name="отчет 2009" sheetId="2" state="hidden" r:id="rId2"/>
    <sheet name="отчет 2010" sheetId="3" state="hidden" r:id="rId3"/>
    <sheet name="смета 2011" sheetId="4" state="hidden" r:id="rId4"/>
    <sheet name="отчет 2011" sheetId="5" state="hidden" r:id="rId5"/>
    <sheet name="смета 2012" sheetId="6" state="hidden" r:id="rId6"/>
    <sheet name="11.12" sheetId="7" state="hidden" r:id="rId7"/>
    <sheet name="отчет12(01-08) " sheetId="8" r:id="rId8"/>
    <sheet name="накопит. отчет" sheetId="9" state="hidden" r:id="rId9"/>
  </sheets>
  <definedNames>
    <definedName name="_xlnm.Print_Area" localSheetId="5">'смета 2012'!$A$1:$H$34</definedName>
  </definedNames>
  <calcPr fullCalcOnLoad="1"/>
</workbook>
</file>

<file path=xl/sharedStrings.xml><?xml version="1.0" encoding="utf-8"?>
<sst xmlns="http://schemas.openxmlformats.org/spreadsheetml/2006/main" count="726" uniqueCount="254">
  <si>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</si>
  <si>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</si>
  <si>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</si>
  <si>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</si>
  <si>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</si>
  <si>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</si>
  <si>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</si>
  <si>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</si>
  <si>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</si>
  <si>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</si>
  <si>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</si>
  <si>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</si>
  <si>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</si>
  <si>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</si>
  <si>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</si>
  <si>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</si>
  <si>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есть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</si>
  <si>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</si>
  <si>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</si>
  <si>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</si>
  <si>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</si>
  <si>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</si>
  <si>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</si>
  <si>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</si>
  <si>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</si>
  <si>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</si>
  <si>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</si>
  <si>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</si>
  <si>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</si>
  <si>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</si>
  <si>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</si>
  <si>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</si>
  <si>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</si>
  <si>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</si>
  <si>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</si>
  <si>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</si>
  <si>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</si>
  <si>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</si>
  <si>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</si>
  <si>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</si>
  <si>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</si>
  <si>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</si>
  <si>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</si>
  <si>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</si>
  <si>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</si>
  <si>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</si>
  <si>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</si>
  <si>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</si>
  <si>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</si>
  <si>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</si>
  <si>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</si>
  <si>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</si>
  <si>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</si>
  <si>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</si>
  <si>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</si>
  <si>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</si>
  <si>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</si>
  <si>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</si>
  <si>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</si>
  <si>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</si>
  <si>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</si>
  <si>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</si>
  <si>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</si>
  <si>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</si>
  <si>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</si>
  <si>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>Затраты на содержание общедомового имущества:</t>
  </si>
  <si>
    <t>Обязательные работы, в том числе:</t>
  </si>
  <si>
    <t xml:space="preserve"> - долг (+), переплата (-)  за 2009 год</t>
  </si>
  <si>
    <t xml:space="preserve">Финансовый результат за 2008г. (+ экономия,- перерасход)                                                      </t>
  </si>
  <si>
    <t xml:space="preserve"> Итого затрат:</t>
  </si>
  <si>
    <t xml:space="preserve">Финансовый результат на 01.01.2010г. (+ экономия,- перерасход) , гр.6.1.+  гр.6.2.                                                   </t>
  </si>
  <si>
    <t xml:space="preserve">Содержание и уборка придомовой территории </t>
  </si>
  <si>
    <t xml:space="preserve">Финансовый результат за 2009г. (+ экономия,- перерасход),   гр.2  -  гр.5.3                                                 </t>
  </si>
  <si>
    <t xml:space="preserve"> Долг (+), переплата (-) на 01.01.2009г.</t>
  </si>
  <si>
    <t xml:space="preserve"> Долг (+), переплата (-) на 01.01.2010г.</t>
  </si>
  <si>
    <t xml:space="preserve"> -  за содержание</t>
  </si>
  <si>
    <t xml:space="preserve"> -  за  текущий ремонт </t>
  </si>
  <si>
    <t>Адрес:</t>
  </si>
  <si>
    <t xml:space="preserve">Директор ООО "ОЖКС № 6"                                               Л.И. Никашина                           </t>
  </si>
  <si>
    <t>Принято:</t>
  </si>
  <si>
    <t xml:space="preserve"> </t>
  </si>
  <si>
    <t>Противопожарные мероприятия:  содержание и обслуживание вентканалов и шахт</t>
  </si>
  <si>
    <t>ООО "ОЖКС № 6"</t>
  </si>
  <si>
    <t xml:space="preserve">                   Представитель собственников  - старший по дому Нейгебаур Е.В.,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2009 году.  </t>
  </si>
  <si>
    <t>пр. Ленина, 129</t>
  </si>
  <si>
    <t>Старший по дому                                                                     Е.В. Нейгедаур</t>
  </si>
  <si>
    <t>Претензий по управлению нет (да)</t>
  </si>
  <si>
    <t>ОТЧЕТ
за  2009 г. о выполненнии условий  договора управления МКД
№80/6 от 28.03.2008 г., заключенного между ООО "ОЖКС №6" и собственниками многоквартирного дома
по адресу:  пр. Ленина, 129</t>
  </si>
  <si>
    <t>ОТЧЕТ
о выполненных работах в 2008 году по договору управления МКД 
№80 от 28.03.2008 г., заключенного между ООО "ОЖКС №6" и собственниками многоквартирного дома
по адресу:  пр-т Ленина, 129.</t>
  </si>
  <si>
    <t xml:space="preserve">            Представитель собственников  - старший по дому Нейгебаур Е.В.,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</si>
  <si>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</si>
  <si>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</si>
  <si>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</si>
  <si>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</si>
  <si>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</si>
  <si>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</si>
  <si>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</si>
  <si>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</si>
  <si>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</si>
  <si>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</si>
  <si>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</si>
  <si>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</si>
  <si>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</si>
  <si>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</si>
  <si>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</si>
  <si>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</si>
  <si>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</si>
  <si>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</si>
  <si>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</si>
  <si>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</si>
  <si>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</si>
  <si>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</si>
  <si>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</si>
  <si>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</si>
  <si>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Наем: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</si>
  <si>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</si>
  <si>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</si>
  <si>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</si>
  <si>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</si>
  <si>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</si>
  <si>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</si>
  <si>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</si>
  <si>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</si>
  <si>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</si>
  <si>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</si>
  <si>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>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</si>
  <si>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</si>
  <si>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</si>
  <si>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</si>
  <si>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</si>
  <si>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</si>
  <si>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>Старший по дому                                                                    Е.В. Нейгебаур</t>
  </si>
  <si>
    <t>Претензий по управлению нет.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</si>
  <si>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</si>
  <si>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</si>
  <si>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</si>
  <si>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по договору</t>
  </si>
  <si>
    <t>1 раз/неделю - подметание
1 раз/месяц 
влажная уборка</t>
  </si>
  <si>
    <t>ООО  "ОЖКС № 6"</t>
  </si>
  <si>
    <t xml:space="preserve">S нежилых </t>
  </si>
  <si>
    <t xml:space="preserve">помещений, 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</si>
  <si>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</si>
  <si>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</si>
  <si>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</si>
  <si>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</si>
  <si>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</si>
  <si>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</si>
  <si>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</si>
  <si>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</si>
  <si>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</si>
  <si>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(антены)</t>
  </si>
  <si>
    <t xml:space="preserve"> - итого получено доходов</t>
  </si>
  <si>
    <t>2.1.</t>
  </si>
  <si>
    <r>
      <t xml:space="preserve">Сбор, вывоз  бытового мусора, содержание  </t>
    </r>
    <r>
      <rPr>
        <sz val="12"/>
        <color indexed="10"/>
        <rFont val="Times New Roman"/>
        <family val="1"/>
      </rPr>
      <t xml:space="preserve">мусоропроводов </t>
    </r>
  </si>
  <si>
    <t xml:space="preserve">по графику </t>
  </si>
  <si>
    <t>ав/обслуж - круглосуточно 
профосмотр -
 1 раз в год по графику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</si>
  <si>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</si>
  <si>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</si>
  <si>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</si>
  <si>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</si>
  <si>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</si>
  <si>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</si>
  <si>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</si>
  <si>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</si>
  <si>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</si>
  <si>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</si>
  <si>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>ОТЧЕТ
за  2010 г. о выполненнии условий  договора управления МКД
 №80/6 от 28.03.2008 г., заключенного между ООО "ОЖКС №6" и собственниками многоквартирного дома
по адресу:  пр. Ленина, 129</t>
  </si>
  <si>
    <t xml:space="preserve">                    Представитель собственников  - старший по дому Нейгебаур Е.В., 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2010 году.  </t>
  </si>
  <si>
    <t>Принято: Старший по дому                                                  Нейгебаур Е.В.</t>
  </si>
  <si>
    <t>Сальдо
 на 01.01
+экономия
-перерасход</t>
  </si>
  <si>
    <t>год</t>
  </si>
  <si>
    <t>выполнено работ, руб.</t>
  </si>
  <si>
    <t>начислено</t>
  </si>
  <si>
    <t>оплачено</t>
  </si>
  <si>
    <t>результат
(+долг, 
-перепл.)</t>
  </si>
  <si>
    <t>обслуж.</t>
  </si>
  <si>
    <t>тек. рем.</t>
  </si>
  <si>
    <t>кап.рем.</t>
  </si>
  <si>
    <t>итого</t>
  </si>
  <si>
    <t>обслуж.
+ тек.р.</t>
  </si>
  <si>
    <t>2008г</t>
  </si>
  <si>
    <t>2009г</t>
  </si>
  <si>
    <t>2010г</t>
  </si>
  <si>
    <t>2011г</t>
  </si>
  <si>
    <t>2012г</t>
  </si>
  <si>
    <t>Тариф на 
1 кв.м.
руб.</t>
  </si>
  <si>
    <t xml:space="preserve"> - ожидаемый сбор на содержание и текущий ремонт общего имущества жилого дома</t>
  </si>
  <si>
    <t>Обслуживание  бойлеров</t>
  </si>
  <si>
    <t xml:space="preserve"> Текущий ремонт общего имущества  (см. приложение)</t>
  </si>
  <si>
    <t>Всего затрат:</t>
  </si>
  <si>
    <t>Капитальный ремонт  (см. приложение)</t>
  </si>
  <si>
    <t>Смета 
доходов и расходов  на  2011 г.
согласно договора управления МКД 
№80/6 от 28.03.2008 г., заключенного между ООО "ОЖКС №6" 
и собственниками многоквартирного дома
по адресу:  пр. Ленина, 129</t>
  </si>
  <si>
    <t>взаимоотношения с населением по утвержденному тарифу, руб.</t>
  </si>
  <si>
    <t>прочие доходы, руб.</t>
  </si>
  <si>
    <t>ИТОГО
ДОХОДОВ</t>
  </si>
  <si>
    <t>аренда
торы</t>
  </si>
  <si>
    <t>антенны</t>
  </si>
  <si>
    <t>бюджетные
средства по ФЗ-185</t>
  </si>
  <si>
    <t>управ
ление</t>
  </si>
  <si>
    <t>5=3+4</t>
  </si>
  <si>
    <t>8=6+7</t>
  </si>
  <si>
    <t>9=5-8</t>
  </si>
  <si>
    <t>13=
8+10+11+12</t>
  </si>
  <si>
    <t>18=14+15+
16+17</t>
  </si>
  <si>
    <t>19=13-18</t>
  </si>
  <si>
    <t>ОТЧЕТ
по  договору управления МКД 
№80/6 от 28.03.2008 г., заключенного между ООО "ОЖКС №6" и собственниками многоквартирного дома
по адресу:  пр. Ленина, 129</t>
  </si>
  <si>
    <t>Итого</t>
  </si>
  <si>
    <t xml:space="preserve">Сбор, вывоз  бытового мусора, содержание  мусоропроводов </t>
  </si>
  <si>
    <t>результат
 за год
(+эконом., 
-перерасх.)</t>
  </si>
  <si>
    <t xml:space="preserve">                    Представитель собственников  - старший по дому ______________________________, 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2011 году.  </t>
  </si>
  <si>
    <r>
      <t xml:space="preserve">Сбор, вывоз  бытового мусора, содержание  </t>
    </r>
    <r>
      <rPr>
        <sz val="12"/>
        <rFont val="Times New Roman"/>
        <family val="1"/>
      </rPr>
      <t xml:space="preserve">мусоропроводов </t>
    </r>
  </si>
  <si>
    <t xml:space="preserve">Финансовый результат за 2011г. (+ экономия,- перерасход)                                                      </t>
  </si>
  <si>
    <t>Принято: Старший по дому                                                 _________________________</t>
  </si>
  <si>
    <t>ОТЧЕТ
за  2011 г. о выполненнии условий  договора управления МКД
 №80/6 от 28.03.2009 г., заключенного между ООО "ОЖКС №6" и собственниками многоквартирного дома
по адресу:  пр. Ленина, 129</t>
  </si>
  <si>
    <t>Смета 
доходов и расходов  на  2012 г.
согласно договора управления МКД 
№80/6 от 28.03.2008 г., заключенного между ООО "ОЖКС №6" 
и собственниками многоквартирного дома
по адресу:  пр. Ленина, 129</t>
  </si>
  <si>
    <t xml:space="preserve"> Текущий ремонт общего имущества  </t>
  </si>
  <si>
    <t xml:space="preserve">Капитальный ремонт  </t>
  </si>
  <si>
    <t>Справочно: индкекс увеличения тарифа по году 103%:
- с 1 января 2012 г. Тариф остается на уровне 2011 г.
- с 1 июля 2012 г. к тарифу применен индекс 106%</t>
  </si>
  <si>
    <t>Расчет стоимости договора и тарифа 1 м2 на 2012г.</t>
  </si>
  <si>
    <t xml:space="preserve">Директор ООО "Октябрьский ЖКС № 6"                       </t>
  </si>
  <si>
    <t xml:space="preserve">                       Представитель Собственников</t>
  </si>
  <si>
    <t>_________________ Л.И. Никашина</t>
  </si>
  <si>
    <t xml:space="preserve">                           ________________________</t>
  </si>
  <si>
    <t>по плану работ</t>
  </si>
  <si>
    <t xml:space="preserve">         Приложение №7 к Договору                                                                   на оказание услуг и  выполнение работ                                                      по содержанию, текущему и капитальному ремонту                                  общего имущества МКД № ___ от "____"___________2012г.</t>
  </si>
  <si>
    <t>1.1.</t>
  </si>
  <si>
    <t>1.2.</t>
  </si>
  <si>
    <t>1.3.</t>
  </si>
  <si>
    <t>подметание асфальта -   1 раз/неделю,                
подбор мусора - ежедневно</t>
  </si>
  <si>
    <t>* в случае уточнения площадей возможно изменение стоимости</t>
  </si>
  <si>
    <t>Тариф с 1 сентября 2012 г. - 15,36 руб., капитальный ремонт - 0,80 руб.</t>
  </si>
  <si>
    <t>Тариф 
на 1 кв.м. сентябрь-декабрь 2012г.
руб.</t>
  </si>
  <si>
    <t>Стоимость работ
сентябрь-декабрь 2012г.             руб.</t>
  </si>
  <si>
    <t>5=гр.4*Sдома*4мес.</t>
  </si>
  <si>
    <t>Сбор, вывоз  бытового мусора, содержание  контейнерных площадок</t>
  </si>
  <si>
    <t>ОТЧЕТ
с 01.01.12г. по 31.08.12г. о выполненнии условий  договора управления МКД
 №80/6 от 28.03.2009 г., заключенного между ООО "ОЖКС №6" и собственниками многоквартирного дома
по адресу:  пр. Ленина, 129</t>
  </si>
  <si>
    <t xml:space="preserve">                    Представитель собственников  - старший по дому ______________________________, 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с 01.01.12г. по 31.08.12г.</t>
  </si>
  <si>
    <t>S жилых и нежилых помещений, кв.м</t>
  </si>
  <si>
    <t>Тариф 01.01.12г-30.06.12г</t>
  </si>
  <si>
    <t>Тариф 01.07.12г.-31.08.12г.</t>
  </si>
  <si>
    <t>Сумма 
с 01.01.12г по 31.08.12г.,
 руб.</t>
  </si>
  <si>
    <t>кол-во мес. по дог. управления</t>
  </si>
  <si>
    <t xml:space="preserve"> - прочие доходы </t>
  </si>
  <si>
    <t>Сбор, вывоз бытового мусора</t>
  </si>
  <si>
    <t xml:space="preserve">Финансовый результат за с 01.01.12г. по 31.08.12г. (+ экономия,- перерасход)                                                      </t>
  </si>
  <si>
    <t xml:space="preserve">Директор ООО "ОЖКС № 6"                                            Л.И. Никашина                               </t>
  </si>
  <si>
    <t>Старший по дому                                                                  ________________________</t>
  </si>
  <si>
    <t>Исполнитель: Стыценкова И.А.</t>
  </si>
  <si>
    <t xml:space="preserve">Директор ООО "ОЖКС № 6"                                 </t>
  </si>
  <si>
    <t xml:space="preserve">____________ Л.И. Никашина                            </t>
  </si>
  <si>
    <t xml:space="preserve">Финансовый результат </t>
  </si>
  <si>
    <t>по договору управления подтверждаю:</t>
  </si>
  <si>
    <t>Старший по дому</t>
  </si>
  <si>
    <t>_______________/___________/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</si>
</sst>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</numFmts>
  <fonts count="30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sz val="11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10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4"/>
      <name val="Times New Roman"/>
      <family val="1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24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vertical="center"/>
    </xf>
    <xf numFmtId="4" fontId="0" fillId="2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25" borderId="10" xfId="0" applyNumberFormat="1" applyFont="1" applyFill="1" applyBorder="1" applyAlignment="1">
      <alignment/>
    </xf>
    <xf numFmtId="4" fontId="2" fillId="25" borderId="0" xfId="0" applyNumberFormat="1" applyFont="1" applyFill="1" applyAlignment="1">
      <alignment/>
    </xf>
    <xf numFmtId="0" fontId="2" fillId="25" borderId="10" xfId="0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vertical="center"/>
    </xf>
    <xf numFmtId="4" fontId="0" fillId="25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/>
    </xf>
    <xf numFmtId="164" fontId="0" fillId="24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164" fontId="2" fillId="24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/>
    </xf>
    <xf numFmtId="4" fontId="2" fillId="25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8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70" fontId="2" fillId="0" borderId="25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170" fontId="2" fillId="0" borderId="16" xfId="0" applyNumberFormat="1" applyFont="1" applyBorder="1" applyAlignment="1">
      <alignment horizontal="center" vertical="center"/>
    </xf>
    <xf numFmtId="170" fontId="2" fillId="0" borderId="16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3" fontId="0" fillId="25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9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 wrapText="1" shrinkToFit="1"/>
    </xf>
    <xf numFmtId="0" fontId="2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0" xfId="0" applyFont="1" applyAlignment="1">
      <alignment horizontal="justify"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 indent="1"/>
    </xf>
    <xf numFmtId="0" fontId="2" fillId="0" borderId="1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0" fillId="0" borderId="13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4" xfId="0" applyFont="1" applyBorder="1" applyAlignment="1">
      <alignment horizontal="left" wrapText="1"/>
    </xf>
    <xf numFmtId="0" fontId="2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49" fontId="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 shrinkToFi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 shrinkToFit="1"/>
    </xf>
    <xf numFmtId="0" fontId="2" fillId="0" borderId="3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22">
      <selection activeCell="D25" sqref="D25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2.75390625" style="0" customWidth="1"/>
    <col min="5" max="5" width="12.875" style="0" customWidth="1"/>
  </cols>
  <sheetData>
    <row r="1" spans="1:4" ht="104.25" customHeight="1">
      <c r="A1" s="172" t="s">
        <v>88</v>
      </c>
      <c r="B1" s="173"/>
      <c r="C1" s="173"/>
      <c r="D1" s="173"/>
    </row>
    <row r="2" spans="1:5" ht="80.25" customHeight="1">
      <c r="A2" s="174" t="s">
        <v>89</v>
      </c>
      <c r="B2" s="175"/>
      <c r="C2" s="175"/>
      <c r="D2" s="175"/>
      <c r="E2" t="s">
        <v>80</v>
      </c>
    </row>
    <row r="3" spans="1:5" ht="34.5" customHeight="1">
      <c r="A3" s="23" t="s">
        <v>90</v>
      </c>
      <c r="B3" s="23" t="s">
        <v>91</v>
      </c>
      <c r="C3" s="11" t="s">
        <v>92</v>
      </c>
      <c r="D3" s="51" t="s">
        <v>93</v>
      </c>
      <c r="E3" s="52" t="s">
        <v>94</v>
      </c>
    </row>
    <row r="4" spans="1:5" ht="18.75" customHeight="1">
      <c r="A4" s="53" t="s">
        <v>95</v>
      </c>
      <c r="B4" s="54" t="s">
        <v>96</v>
      </c>
      <c r="C4" s="11" t="s">
        <v>97</v>
      </c>
      <c r="D4" s="55">
        <v>9</v>
      </c>
      <c r="E4" s="55">
        <v>9</v>
      </c>
    </row>
    <row r="5" spans="1:5" ht="15.75">
      <c r="A5" s="56" t="s">
        <v>98</v>
      </c>
      <c r="B5" s="57" t="s">
        <v>99</v>
      </c>
      <c r="C5" s="58" t="s">
        <v>100</v>
      </c>
      <c r="D5" s="59">
        <v>5557.2</v>
      </c>
      <c r="E5" s="59">
        <v>5557.2</v>
      </c>
    </row>
    <row r="6" spans="1:5" ht="14.25" customHeight="1">
      <c r="A6" s="56" t="s">
        <v>101</v>
      </c>
      <c r="B6" s="57" t="s">
        <v>102</v>
      </c>
      <c r="C6" s="58" t="s">
        <v>97</v>
      </c>
      <c r="D6" s="60">
        <v>108</v>
      </c>
      <c r="E6" s="60">
        <v>108</v>
      </c>
    </row>
    <row r="7" spans="1:5" ht="16.5" customHeight="1">
      <c r="A7" s="56" t="s">
        <v>103</v>
      </c>
      <c r="B7" s="57" t="s">
        <v>104</v>
      </c>
      <c r="C7" s="50"/>
      <c r="D7" s="59"/>
      <c r="E7" s="59"/>
    </row>
    <row r="8" spans="1:5" ht="15.75">
      <c r="A8" s="61" t="s">
        <v>105</v>
      </c>
      <c r="B8" s="57" t="s">
        <v>106</v>
      </c>
      <c r="C8" s="50"/>
      <c r="D8" s="59"/>
      <c r="E8" s="59"/>
    </row>
    <row r="9" spans="1:5" ht="17.25" customHeight="1">
      <c r="A9" s="62"/>
      <c r="B9" s="35" t="s">
        <v>107</v>
      </c>
      <c r="C9" s="50" t="s">
        <v>108</v>
      </c>
      <c r="D9" s="59">
        <v>533814.66</v>
      </c>
      <c r="E9" s="59">
        <v>533814.66</v>
      </c>
    </row>
    <row r="10" spans="1:5" ht="16.5" customHeight="1">
      <c r="A10" s="62"/>
      <c r="B10" s="35" t="s">
        <v>109</v>
      </c>
      <c r="C10" s="50" t="s">
        <v>108</v>
      </c>
      <c r="D10" s="59">
        <v>513082.82</v>
      </c>
      <c r="E10" s="59">
        <v>513082.82</v>
      </c>
    </row>
    <row r="11" spans="1:5" ht="15.75">
      <c r="A11" s="62"/>
      <c r="B11" s="57" t="s">
        <v>110</v>
      </c>
      <c r="C11" s="58" t="s">
        <v>108</v>
      </c>
      <c r="D11" s="63">
        <f>D9-D10</f>
        <v>20731.840000000026</v>
      </c>
      <c r="E11" s="63">
        <f>E9-E10</f>
        <v>20731.840000000026</v>
      </c>
    </row>
    <row r="12" spans="1:5" ht="18" customHeight="1">
      <c r="A12" s="61" t="s">
        <v>111</v>
      </c>
      <c r="B12" s="57" t="s">
        <v>112</v>
      </c>
      <c r="C12" s="50"/>
      <c r="D12" s="59"/>
      <c r="E12" s="59"/>
    </row>
    <row r="13" spans="1:5" ht="15.75">
      <c r="A13" s="62"/>
      <c r="B13" s="35" t="s">
        <v>107</v>
      </c>
      <c r="C13" s="50" t="s">
        <v>108</v>
      </c>
      <c r="D13" s="59">
        <v>23764.33</v>
      </c>
      <c r="E13" s="59"/>
    </row>
    <row r="14" spans="1:5" ht="15.75" customHeight="1">
      <c r="A14" s="62"/>
      <c r="B14" s="35" t="s">
        <v>109</v>
      </c>
      <c r="C14" s="50" t="s">
        <v>108</v>
      </c>
      <c r="D14" s="59">
        <v>23302.88</v>
      </c>
      <c r="E14" s="59"/>
    </row>
    <row r="15" spans="1:5" ht="15.75" customHeight="1">
      <c r="A15" s="62"/>
      <c r="B15" s="57" t="s">
        <v>110</v>
      </c>
      <c r="C15" s="58" t="s">
        <v>108</v>
      </c>
      <c r="D15" s="63">
        <f>D13-D14</f>
        <v>461.4500000000007</v>
      </c>
      <c r="E15" s="63">
        <f>E13-E14</f>
        <v>0</v>
      </c>
    </row>
    <row r="16" spans="1:5" ht="15.75" customHeight="1">
      <c r="A16" s="61" t="s">
        <v>113</v>
      </c>
      <c r="B16" s="57" t="s">
        <v>114</v>
      </c>
      <c r="C16" s="50"/>
      <c r="D16" s="59"/>
      <c r="E16" s="59"/>
    </row>
    <row r="17" spans="1:5" ht="15.75" customHeight="1">
      <c r="A17" s="62"/>
      <c r="B17" s="35" t="s">
        <v>107</v>
      </c>
      <c r="C17" s="50" t="s">
        <v>108</v>
      </c>
      <c r="D17" s="59">
        <v>13665.53</v>
      </c>
      <c r="E17" s="59">
        <v>13665.53</v>
      </c>
    </row>
    <row r="18" spans="1:5" ht="15.75" customHeight="1">
      <c r="A18" s="62"/>
      <c r="B18" s="35" t="s">
        <v>109</v>
      </c>
      <c r="C18" s="50" t="s">
        <v>108</v>
      </c>
      <c r="D18" s="59">
        <v>12317.43</v>
      </c>
      <c r="E18" s="59">
        <v>12317.43</v>
      </c>
    </row>
    <row r="19" spans="1:5" ht="15.75" customHeight="1">
      <c r="A19" s="62"/>
      <c r="B19" s="57" t="s">
        <v>110</v>
      </c>
      <c r="C19" s="58" t="s">
        <v>108</v>
      </c>
      <c r="D19" s="63">
        <f>D17-D18</f>
        <v>1348.1000000000004</v>
      </c>
      <c r="E19" s="63">
        <f>E17-E18</f>
        <v>1348.1000000000004</v>
      </c>
    </row>
    <row r="20" spans="1:5" ht="15" customHeight="1">
      <c r="A20" s="62"/>
      <c r="B20" s="57" t="s">
        <v>115</v>
      </c>
      <c r="C20" s="50" t="s">
        <v>108</v>
      </c>
      <c r="D20" s="63">
        <f>D9+D13+D17</f>
        <v>571244.52</v>
      </c>
      <c r="E20" s="63">
        <f>E9+E13+E17</f>
        <v>547480.1900000001</v>
      </c>
    </row>
    <row r="21" spans="1:5" ht="15.75">
      <c r="A21" s="62"/>
      <c r="B21" s="57" t="s">
        <v>116</v>
      </c>
      <c r="C21" s="50" t="s">
        <v>108</v>
      </c>
      <c r="D21" s="63">
        <f>D11+D15+D19</f>
        <v>22541.39000000003</v>
      </c>
      <c r="E21" s="63">
        <f>E11+E15+E19</f>
        <v>22079.940000000024</v>
      </c>
    </row>
    <row r="22" spans="1:5" ht="15.75" customHeight="1">
      <c r="A22" s="56" t="s">
        <v>117</v>
      </c>
      <c r="B22" s="64" t="s">
        <v>118</v>
      </c>
      <c r="C22" s="50"/>
      <c r="D22" s="59"/>
      <c r="E22" s="59"/>
    </row>
    <row r="23" spans="1:5" ht="94.5">
      <c r="A23" s="65" t="s">
        <v>119</v>
      </c>
      <c r="B23" s="66" t="s">
        <v>120</v>
      </c>
      <c r="C23" s="58" t="s">
        <v>108</v>
      </c>
      <c r="D23" s="63">
        <f>D9*0.11</f>
        <v>58719.6126</v>
      </c>
      <c r="E23" s="63">
        <f>E9*0.11</f>
        <v>58719.6126</v>
      </c>
    </row>
    <row r="24" spans="1:6" ht="94.5" customHeight="1">
      <c r="A24" s="65" t="s">
        <v>121</v>
      </c>
      <c r="B24" s="66" t="s">
        <v>122</v>
      </c>
      <c r="C24" s="58" t="s">
        <v>108</v>
      </c>
      <c r="D24" s="63">
        <f>D9*0.7</f>
        <v>373670.262</v>
      </c>
      <c r="E24" s="63">
        <f>E9*0.7</f>
        <v>373670.262</v>
      </c>
      <c r="F24" t="s">
        <v>80</v>
      </c>
    </row>
    <row r="25" spans="1:5" ht="19.5" customHeight="1">
      <c r="A25" s="65" t="s">
        <v>123</v>
      </c>
      <c r="B25" s="57" t="s">
        <v>124</v>
      </c>
      <c r="C25" s="58" t="s">
        <v>108</v>
      </c>
      <c r="D25" s="67">
        <v>215290</v>
      </c>
      <c r="E25" s="67">
        <v>215290</v>
      </c>
    </row>
    <row r="26" spans="1:5" ht="18.75" customHeight="1" hidden="1">
      <c r="A26" s="68" t="s">
        <v>125</v>
      </c>
      <c r="B26" s="57" t="s">
        <v>126</v>
      </c>
      <c r="C26" s="58"/>
      <c r="D26" s="67">
        <v>0</v>
      </c>
      <c r="E26" s="67">
        <v>0</v>
      </c>
    </row>
    <row r="27" spans="1:5" ht="17.25" customHeight="1">
      <c r="A27" s="62"/>
      <c r="B27" s="57" t="s">
        <v>127</v>
      </c>
      <c r="C27" s="58" t="s">
        <v>108</v>
      </c>
      <c r="D27" s="63">
        <f>D23+D24+D25+D26</f>
        <v>647679.8746</v>
      </c>
      <c r="E27" s="63">
        <f>E23+E24+E25+E26</f>
        <v>647679.8746</v>
      </c>
    </row>
    <row r="28" spans="1:5" ht="17.25" customHeight="1">
      <c r="A28" s="61" t="s">
        <v>61</v>
      </c>
      <c r="B28" s="57" t="s">
        <v>128</v>
      </c>
      <c r="C28" s="50" t="s">
        <v>108</v>
      </c>
      <c r="D28" s="59">
        <f>D20-D27</f>
        <v>-76435.35459999996</v>
      </c>
      <c r="E28" s="59">
        <f>E20-E27</f>
        <v>-100199.68459999992</v>
      </c>
    </row>
    <row r="29" spans="1:5" ht="31.5">
      <c r="A29" s="65" t="s">
        <v>129</v>
      </c>
      <c r="B29" s="66" t="s">
        <v>130</v>
      </c>
      <c r="C29" s="50" t="s">
        <v>108</v>
      </c>
      <c r="D29" s="59">
        <f>D28-D21</f>
        <v>-98976.74459999999</v>
      </c>
      <c r="E29" s="59">
        <f>E28-E21</f>
        <v>-122279.62459999995</v>
      </c>
    </row>
    <row r="30" spans="1:4" ht="15.75">
      <c r="A30" s="69"/>
      <c r="B30" s="70"/>
      <c r="C30" s="71"/>
      <c r="D30" s="72"/>
    </row>
    <row r="31" spans="2:4" ht="15.75">
      <c r="B31" s="43" t="s">
        <v>78</v>
      </c>
      <c r="C31" s="43"/>
      <c r="D31" s="43"/>
    </row>
    <row r="32" spans="2:4" ht="15.75">
      <c r="B32" s="43" t="s">
        <v>80</v>
      </c>
      <c r="C32" s="43"/>
      <c r="D32" s="43"/>
    </row>
    <row r="33" spans="2:4" ht="15.75">
      <c r="B33" s="44" t="s">
        <v>79</v>
      </c>
      <c r="C33" s="44"/>
      <c r="D33" s="44" t="s">
        <v>80</v>
      </c>
    </row>
    <row r="34" spans="2:4" ht="15.75">
      <c r="B34" s="168" t="s">
        <v>131</v>
      </c>
      <c r="C34" s="168"/>
      <c r="D34" s="44"/>
    </row>
    <row r="35" spans="2:4" ht="17.25" customHeight="1">
      <c r="B35" s="169" t="s">
        <v>132</v>
      </c>
      <c r="C35" s="169"/>
      <c r="D35" s="169"/>
    </row>
    <row r="38" ht="15.75">
      <c r="B38" t="s">
        <v>80</v>
      </c>
    </row>
    <row r="41" ht="15.75">
      <c r="B41" t="s">
        <v>80</v>
      </c>
    </row>
    <row r="46" ht="15.75">
      <c r="B46" t="s">
        <v>80</v>
      </c>
    </row>
  </sheetData>
  <sheetProtection/>
  <mergeCells count="4">
    <mergeCell ref="A1:D1"/>
    <mergeCell ref="A2:D2"/>
    <mergeCell ref="B34:C34"/>
    <mergeCell ref="B35:D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B26">
      <selection activeCell="H33" sqref="H33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2.625" style="0" customWidth="1"/>
    <col min="9" max="9" width="9.875" style="0" bestFit="1" customWidth="1"/>
  </cols>
  <sheetData>
    <row r="1" spans="1:8" ht="121.5" customHeight="1">
      <c r="A1" s="172" t="s">
        <v>87</v>
      </c>
      <c r="B1" s="172"/>
      <c r="C1" s="172"/>
      <c r="D1" s="172"/>
      <c r="E1" s="172"/>
      <c r="F1" s="172"/>
      <c r="G1" s="172"/>
      <c r="H1" s="172"/>
    </row>
    <row r="2" spans="1:8" ht="78" customHeight="1">
      <c r="A2" s="178" t="s">
        <v>83</v>
      </c>
      <c r="B2" s="178"/>
      <c r="C2" s="178"/>
      <c r="D2" s="178"/>
      <c r="E2" s="178"/>
      <c r="F2" s="178"/>
      <c r="G2" s="178"/>
      <c r="H2" s="178"/>
    </row>
    <row r="3" spans="1:6" ht="18.75">
      <c r="A3" s="1" t="s">
        <v>77</v>
      </c>
      <c r="B3" s="1" t="s">
        <v>84</v>
      </c>
      <c r="C3" s="2"/>
      <c r="D3" s="2" t="s">
        <v>0</v>
      </c>
      <c r="E3" s="4">
        <v>5557.2</v>
      </c>
      <c r="F3" s="2"/>
    </row>
    <row r="4" spans="2:6" ht="15.75">
      <c r="B4" s="3" t="s">
        <v>1</v>
      </c>
      <c r="C4" s="117">
        <v>9</v>
      </c>
      <c r="D4" s="2" t="s">
        <v>2</v>
      </c>
      <c r="E4" s="4">
        <v>108</v>
      </c>
      <c r="F4" s="2"/>
    </row>
    <row r="5" spans="2:7" ht="15.75">
      <c r="B5" s="3" t="s">
        <v>3</v>
      </c>
      <c r="C5" s="4">
        <v>3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2" customHeight="1">
      <c r="A7" s="22" t="s">
        <v>60</v>
      </c>
      <c r="B7" s="170"/>
      <c r="C7" s="170"/>
      <c r="D7" s="170"/>
      <c r="E7" s="11" t="s">
        <v>6</v>
      </c>
      <c r="F7" s="11" t="s">
        <v>7</v>
      </c>
      <c r="G7" s="33" t="s">
        <v>22</v>
      </c>
      <c r="H7" s="10" t="s">
        <v>33</v>
      </c>
    </row>
    <row r="8" spans="1:8" ht="15.75">
      <c r="A8" s="23"/>
      <c r="B8" s="171" t="s">
        <v>64</v>
      </c>
      <c r="C8" s="166"/>
      <c r="D8" s="166"/>
      <c r="E8" s="166"/>
      <c r="F8" s="167"/>
      <c r="G8" s="15"/>
      <c r="H8" s="16"/>
    </row>
    <row r="9" spans="1:8" ht="15.75" customHeight="1">
      <c r="A9" s="23"/>
      <c r="B9" s="181" t="s">
        <v>73</v>
      </c>
      <c r="C9" s="181"/>
      <c r="D9" s="181"/>
      <c r="E9" s="181"/>
      <c r="F9" s="181"/>
      <c r="G9" s="15"/>
      <c r="H9" s="32">
        <v>83801.69</v>
      </c>
    </row>
    <row r="10" spans="1:8" ht="15.75">
      <c r="A10" s="23">
        <v>1</v>
      </c>
      <c r="B10" s="177" t="s">
        <v>62</v>
      </c>
      <c r="C10" s="177"/>
      <c r="D10" s="177"/>
      <c r="E10" s="177"/>
      <c r="F10" s="177"/>
      <c r="G10" s="17"/>
      <c r="H10" s="35">
        <v>836368.8</v>
      </c>
    </row>
    <row r="11" spans="1:8" ht="15.75">
      <c r="A11" s="23"/>
      <c r="B11" s="177" t="s">
        <v>75</v>
      </c>
      <c r="C11" s="177"/>
      <c r="D11" s="177"/>
      <c r="E11" s="177"/>
      <c r="F11" s="177"/>
      <c r="G11" s="17"/>
      <c r="H11" s="49">
        <f>H10*0.9</f>
        <v>752731.92</v>
      </c>
    </row>
    <row r="12" spans="1:8" ht="15.75">
      <c r="A12" s="23"/>
      <c r="B12" s="177" t="s">
        <v>76</v>
      </c>
      <c r="C12" s="177"/>
      <c r="D12" s="177"/>
      <c r="E12" s="177"/>
      <c r="F12" s="177"/>
      <c r="G12" s="17"/>
      <c r="H12" s="36">
        <f>H10-H11</f>
        <v>83636.88</v>
      </c>
    </row>
    <row r="13" spans="1:8" ht="15.75">
      <c r="A13" s="23">
        <v>2</v>
      </c>
      <c r="B13" s="177" t="s">
        <v>63</v>
      </c>
      <c r="C13" s="177"/>
      <c r="D13" s="177"/>
      <c r="E13" s="177"/>
      <c r="F13" s="177"/>
      <c r="G13" s="17"/>
      <c r="H13" s="18">
        <v>759538.63</v>
      </c>
    </row>
    <row r="14" spans="1:8" ht="15.75">
      <c r="A14" s="23">
        <v>3</v>
      </c>
      <c r="B14" s="177" t="s">
        <v>67</v>
      </c>
      <c r="C14" s="177"/>
      <c r="D14" s="177"/>
      <c r="E14" s="177"/>
      <c r="F14" s="177"/>
      <c r="G14" s="17"/>
      <c r="H14" s="36">
        <f>H10-H13</f>
        <v>76830.17000000004</v>
      </c>
    </row>
    <row r="15" spans="1:9" ht="15.75">
      <c r="A15" s="23">
        <v>4</v>
      </c>
      <c r="B15" s="181" t="s">
        <v>74</v>
      </c>
      <c r="C15" s="181"/>
      <c r="D15" s="181"/>
      <c r="E15" s="181"/>
      <c r="F15" s="181"/>
      <c r="G15" s="17"/>
      <c r="H15" s="37">
        <f>H9+H10-H13</f>
        <v>160631.86</v>
      </c>
      <c r="I15" s="31"/>
    </row>
    <row r="16" spans="1:8" ht="18.75">
      <c r="A16" s="23">
        <v>5</v>
      </c>
      <c r="B16" s="182" t="s">
        <v>65</v>
      </c>
      <c r="C16" s="182"/>
      <c r="D16" s="182"/>
      <c r="E16" s="182"/>
      <c r="F16" s="182"/>
      <c r="G16" s="17"/>
      <c r="H16" s="36"/>
    </row>
    <row r="17" spans="1:8" ht="15.75">
      <c r="A17" s="23" t="s">
        <v>39</v>
      </c>
      <c r="B17" s="19" t="s">
        <v>66</v>
      </c>
      <c r="C17" s="19"/>
      <c r="D17" s="19"/>
      <c r="E17" s="19"/>
      <c r="F17" s="5"/>
      <c r="G17" s="20"/>
      <c r="H17" s="38"/>
    </row>
    <row r="18" spans="1:8" ht="31.5">
      <c r="A18" s="26" t="s">
        <v>40</v>
      </c>
      <c r="B18" s="179" t="s">
        <v>18</v>
      </c>
      <c r="C18" s="179"/>
      <c r="D18" s="179"/>
      <c r="E18" s="6" t="s">
        <v>32</v>
      </c>
      <c r="F18" s="6" t="s">
        <v>24</v>
      </c>
      <c r="G18" s="12">
        <v>1.06</v>
      </c>
      <c r="H18" s="39">
        <f>ROUND(G18*$E$3*12,2)</f>
        <v>70687.58</v>
      </c>
    </row>
    <row r="19" spans="1:8" ht="15.75">
      <c r="A19" s="23" t="s">
        <v>41</v>
      </c>
      <c r="B19" s="179" t="s">
        <v>17</v>
      </c>
      <c r="C19" s="179"/>
      <c r="D19" s="179"/>
      <c r="E19" s="6" t="s">
        <v>32</v>
      </c>
      <c r="F19" s="6" t="s">
        <v>19</v>
      </c>
      <c r="G19" s="12">
        <v>0.26</v>
      </c>
      <c r="H19" s="39">
        <f aca="true" t="shared" si="0" ref="H19:H31">ROUND(G19*$E$3*12,2)</f>
        <v>17338.46</v>
      </c>
    </row>
    <row r="20" spans="1:8" ht="15.75">
      <c r="A20" s="26" t="s">
        <v>42</v>
      </c>
      <c r="B20" s="177" t="s">
        <v>23</v>
      </c>
      <c r="C20" s="177"/>
      <c r="D20" s="177"/>
      <c r="E20" s="7" t="s">
        <v>8</v>
      </c>
      <c r="F20" s="7" t="s">
        <v>20</v>
      </c>
      <c r="G20" s="12">
        <v>0.9</v>
      </c>
      <c r="H20" s="39">
        <f t="shared" si="0"/>
        <v>60017.76</v>
      </c>
    </row>
    <row r="21" spans="1:8" ht="33" customHeight="1">
      <c r="A21" s="23" t="s">
        <v>43</v>
      </c>
      <c r="B21" s="176" t="s">
        <v>31</v>
      </c>
      <c r="C21" s="176"/>
      <c r="D21" s="176"/>
      <c r="E21" s="8" t="s">
        <v>9</v>
      </c>
      <c r="F21" s="8" t="s">
        <v>10</v>
      </c>
      <c r="G21" s="12">
        <v>0.46</v>
      </c>
      <c r="H21" s="39">
        <f t="shared" si="0"/>
        <v>30675.74</v>
      </c>
    </row>
    <row r="22" spans="1:8" ht="63">
      <c r="A22" s="26" t="s">
        <v>46</v>
      </c>
      <c r="B22" s="177" t="s">
        <v>27</v>
      </c>
      <c r="C22" s="177"/>
      <c r="D22" s="177"/>
      <c r="E22" s="7" t="s">
        <v>34</v>
      </c>
      <c r="F22" s="7" t="s">
        <v>25</v>
      </c>
      <c r="G22" s="12">
        <v>0.11</v>
      </c>
      <c r="H22" s="39">
        <f t="shared" si="0"/>
        <v>7335.5</v>
      </c>
    </row>
    <row r="23" spans="1:8" ht="31.5">
      <c r="A23" s="23" t="s">
        <v>44</v>
      </c>
      <c r="B23" s="177" t="s">
        <v>11</v>
      </c>
      <c r="C23" s="177"/>
      <c r="D23" s="177"/>
      <c r="E23" s="7" t="s">
        <v>9</v>
      </c>
      <c r="F23" s="7" t="s">
        <v>12</v>
      </c>
      <c r="G23" s="12">
        <v>1.89</v>
      </c>
      <c r="H23" s="39">
        <f t="shared" si="0"/>
        <v>126037.3</v>
      </c>
    </row>
    <row r="24" spans="1:8" ht="15.75">
      <c r="A24" s="26" t="s">
        <v>45</v>
      </c>
      <c r="B24" s="177" t="s">
        <v>26</v>
      </c>
      <c r="C24" s="180"/>
      <c r="D24" s="180"/>
      <c r="E24" s="9" t="s">
        <v>13</v>
      </c>
      <c r="F24" s="9" t="s">
        <v>14</v>
      </c>
      <c r="G24" s="12">
        <v>0.04</v>
      </c>
      <c r="H24" s="39">
        <f t="shared" si="0"/>
        <v>2667.46</v>
      </c>
    </row>
    <row r="25" spans="1:8" ht="36.75" customHeight="1">
      <c r="A25" s="23" t="s">
        <v>47</v>
      </c>
      <c r="B25" s="183" t="s">
        <v>81</v>
      </c>
      <c r="C25" s="184"/>
      <c r="D25" s="185"/>
      <c r="E25" s="9" t="s">
        <v>13</v>
      </c>
      <c r="F25" s="45" t="s">
        <v>82</v>
      </c>
      <c r="G25" s="12">
        <v>0.22</v>
      </c>
      <c r="H25" s="39">
        <f t="shared" si="0"/>
        <v>14671.01</v>
      </c>
    </row>
    <row r="26" spans="1:8" ht="31.5">
      <c r="A26" s="26" t="s">
        <v>48</v>
      </c>
      <c r="B26" s="177" t="s">
        <v>71</v>
      </c>
      <c r="C26" s="177"/>
      <c r="D26" s="177"/>
      <c r="E26" s="6" t="s">
        <v>35</v>
      </c>
      <c r="F26" s="46" t="s">
        <v>82</v>
      </c>
      <c r="G26" s="12">
        <v>2.5</v>
      </c>
      <c r="H26" s="39">
        <f t="shared" si="0"/>
        <v>166716</v>
      </c>
    </row>
    <row r="27" spans="1:8" ht="31.5">
      <c r="A27" s="23" t="s">
        <v>49</v>
      </c>
      <c r="B27" s="179" t="s">
        <v>15</v>
      </c>
      <c r="C27" s="179"/>
      <c r="D27" s="179"/>
      <c r="E27" s="6" t="s">
        <v>35</v>
      </c>
      <c r="F27" s="46" t="s">
        <v>82</v>
      </c>
      <c r="G27" s="12">
        <v>0.46</v>
      </c>
      <c r="H27" s="39">
        <f t="shared" si="0"/>
        <v>30675.74</v>
      </c>
    </row>
    <row r="28" spans="1:8" ht="31.5">
      <c r="A28" s="26" t="s">
        <v>50</v>
      </c>
      <c r="B28" s="186" t="s">
        <v>36</v>
      </c>
      <c r="C28" s="187"/>
      <c r="D28" s="187"/>
      <c r="E28" s="6" t="s">
        <v>35</v>
      </c>
      <c r="F28" s="46" t="s">
        <v>82</v>
      </c>
      <c r="G28" s="48">
        <f>2.14-G29-G30</f>
        <v>1.6400000000000001</v>
      </c>
      <c r="H28" s="39">
        <f t="shared" si="0"/>
        <v>109365.7</v>
      </c>
    </row>
    <row r="29" spans="1:8" ht="31.5">
      <c r="A29" s="23" t="s">
        <v>51</v>
      </c>
      <c r="B29" s="177" t="s">
        <v>28</v>
      </c>
      <c r="C29" s="177"/>
      <c r="D29" s="177"/>
      <c r="E29" s="6" t="s">
        <v>35</v>
      </c>
      <c r="F29" s="46" t="s">
        <v>82</v>
      </c>
      <c r="G29" s="13">
        <v>0.25</v>
      </c>
      <c r="H29" s="39">
        <f t="shared" si="0"/>
        <v>16671.6</v>
      </c>
    </row>
    <row r="30" spans="1:8" ht="31.5">
      <c r="A30" s="26" t="s">
        <v>52</v>
      </c>
      <c r="B30" s="177" t="s">
        <v>29</v>
      </c>
      <c r="C30" s="177"/>
      <c r="D30" s="177"/>
      <c r="E30" s="6" t="s">
        <v>35</v>
      </c>
      <c r="F30" s="46" t="s">
        <v>82</v>
      </c>
      <c r="G30" s="13">
        <v>0.25</v>
      </c>
      <c r="H30" s="39">
        <f t="shared" si="0"/>
        <v>16671.6</v>
      </c>
    </row>
    <row r="31" spans="1:8" ht="31.5">
      <c r="A31" s="23" t="s">
        <v>53</v>
      </c>
      <c r="B31" s="180" t="s">
        <v>21</v>
      </c>
      <c r="C31" s="180"/>
      <c r="D31" s="180"/>
      <c r="E31" s="6" t="s">
        <v>35</v>
      </c>
      <c r="F31" s="46" t="s">
        <v>82</v>
      </c>
      <c r="G31" s="9">
        <v>1.26</v>
      </c>
      <c r="H31" s="39">
        <f t="shared" si="0"/>
        <v>84024.86</v>
      </c>
    </row>
    <row r="32" spans="1:8" ht="15.75">
      <c r="A32" s="23" t="s">
        <v>54</v>
      </c>
      <c r="B32" s="188" t="s">
        <v>30</v>
      </c>
      <c r="C32" s="188"/>
      <c r="D32" s="188"/>
      <c r="E32" s="14"/>
      <c r="F32" s="46"/>
      <c r="G32" s="21">
        <f>SUM(G18:G31)</f>
        <v>11.299999999999999</v>
      </c>
      <c r="H32" s="40">
        <f>SUM(H18:H31)</f>
        <v>753556.3099999999</v>
      </c>
    </row>
    <row r="33" spans="1:8" ht="15.75">
      <c r="A33" s="23" t="s">
        <v>55</v>
      </c>
      <c r="B33" s="181" t="s">
        <v>37</v>
      </c>
      <c r="C33" s="180"/>
      <c r="D33" s="180"/>
      <c r="E33" s="14"/>
      <c r="F33" s="46" t="s">
        <v>82</v>
      </c>
      <c r="G33" s="24">
        <f>H33/E3/12</f>
        <v>1.0586866287578878</v>
      </c>
      <c r="H33" s="28">
        <v>70600</v>
      </c>
    </row>
    <row r="34" spans="1:8" ht="18.75">
      <c r="A34" s="25" t="s">
        <v>56</v>
      </c>
      <c r="B34" s="195" t="s">
        <v>69</v>
      </c>
      <c r="C34" s="195"/>
      <c r="D34" s="195"/>
      <c r="E34" s="195"/>
      <c r="F34" s="195"/>
      <c r="G34" s="5">
        <f>SUM(G32:G33)</f>
        <v>12.358686628757887</v>
      </c>
      <c r="H34" s="41">
        <f>SUM(H32:H33)</f>
        <v>824156.3099999999</v>
      </c>
    </row>
    <row r="35" spans="1:8" ht="18.75">
      <c r="A35" s="23" t="s">
        <v>61</v>
      </c>
      <c r="B35" s="192" t="s">
        <v>38</v>
      </c>
      <c r="C35" s="193"/>
      <c r="D35" s="193"/>
      <c r="E35" s="193"/>
      <c r="F35" s="193"/>
      <c r="G35" s="194"/>
      <c r="H35" s="29"/>
    </row>
    <row r="36" spans="1:8" ht="15.75" customHeight="1">
      <c r="A36" s="23" t="s">
        <v>57</v>
      </c>
      <c r="B36" s="189" t="s">
        <v>68</v>
      </c>
      <c r="C36" s="190"/>
      <c r="D36" s="190"/>
      <c r="E36" s="190"/>
      <c r="F36" s="190"/>
      <c r="G36" s="191"/>
      <c r="H36" s="30">
        <v>-122279.62</v>
      </c>
    </row>
    <row r="37" spans="1:8" ht="15.75" customHeight="1">
      <c r="A37" s="23" t="s">
        <v>58</v>
      </c>
      <c r="B37" s="189" t="s">
        <v>72</v>
      </c>
      <c r="C37" s="190"/>
      <c r="D37" s="190"/>
      <c r="E37" s="190"/>
      <c r="F37" s="190"/>
      <c r="G37" s="191"/>
      <c r="H37" s="42">
        <f>H13-H34</f>
        <v>-64617.679999999935</v>
      </c>
    </row>
    <row r="38" spans="1:8" ht="15.75" customHeight="1">
      <c r="A38" s="23" t="s">
        <v>59</v>
      </c>
      <c r="B38" s="189" t="s">
        <v>70</v>
      </c>
      <c r="C38" s="190"/>
      <c r="D38" s="190"/>
      <c r="E38" s="190"/>
      <c r="F38" s="190"/>
      <c r="G38" s="191"/>
      <c r="H38" s="42">
        <f>H36+H37</f>
        <v>-186897.29999999993</v>
      </c>
    </row>
    <row r="39" spans="2:6" ht="18.75" customHeight="1">
      <c r="B39" s="34"/>
      <c r="F39" s="34"/>
    </row>
    <row r="40" spans="2:6" ht="15.75">
      <c r="B40" s="43" t="s">
        <v>78</v>
      </c>
      <c r="C40" s="43"/>
      <c r="D40" s="43"/>
      <c r="E40" s="34"/>
      <c r="F40" s="34"/>
    </row>
    <row r="41" spans="2:4" ht="15.75">
      <c r="B41" s="43"/>
      <c r="C41" s="43"/>
      <c r="D41" s="43"/>
    </row>
    <row r="42" spans="2:4" ht="15.75">
      <c r="B42" s="44" t="s">
        <v>79</v>
      </c>
      <c r="C42" s="44"/>
      <c r="D42" s="44" t="s">
        <v>80</v>
      </c>
    </row>
    <row r="43" spans="2:4" ht="15.75">
      <c r="B43" s="47" t="s">
        <v>85</v>
      </c>
      <c r="C43" s="47"/>
      <c r="D43" s="44"/>
    </row>
    <row r="44" spans="2:4" ht="15.75" customHeight="1">
      <c r="B44" s="169" t="s">
        <v>86</v>
      </c>
      <c r="C44" s="169"/>
      <c r="D44" s="169"/>
    </row>
  </sheetData>
  <sheetProtection/>
  <mergeCells count="34">
    <mergeCell ref="B44:D44"/>
    <mergeCell ref="B32:D32"/>
    <mergeCell ref="B23:D23"/>
    <mergeCell ref="B24:D24"/>
    <mergeCell ref="B38:G38"/>
    <mergeCell ref="B35:G35"/>
    <mergeCell ref="B33:D33"/>
    <mergeCell ref="B34:F34"/>
    <mergeCell ref="B36:G36"/>
    <mergeCell ref="B37:G37"/>
    <mergeCell ref="B31:D31"/>
    <mergeCell ref="B9:F9"/>
    <mergeCell ref="B16:F16"/>
    <mergeCell ref="B29:D29"/>
    <mergeCell ref="B30:D30"/>
    <mergeCell ref="B25:D25"/>
    <mergeCell ref="B26:D26"/>
    <mergeCell ref="B27:D27"/>
    <mergeCell ref="B28:D28"/>
    <mergeCell ref="B15:F15"/>
    <mergeCell ref="B22:D22"/>
    <mergeCell ref="B19:D19"/>
    <mergeCell ref="B20:D20"/>
    <mergeCell ref="B18:D18"/>
    <mergeCell ref="A1:H1"/>
    <mergeCell ref="B7:D7"/>
    <mergeCell ref="B8:F8"/>
    <mergeCell ref="B21:D21"/>
    <mergeCell ref="B11:F11"/>
    <mergeCell ref="B12:F12"/>
    <mergeCell ref="B10:F10"/>
    <mergeCell ref="B13:F13"/>
    <mergeCell ref="B14:F14"/>
    <mergeCell ref="A2:H2"/>
  </mergeCells>
  <printOptions/>
  <pageMargins left="0.15748031496062992" right="0" top="0" bottom="0" header="0.5118110236220472" footer="0.2755905511811024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20.00390625" style="0" customWidth="1"/>
    <col min="6" max="6" width="18.00390625" style="0" hidden="1" customWidth="1"/>
    <col min="7" max="7" width="9.625" style="0" hidden="1" customWidth="1"/>
    <col min="8" max="8" width="11.625" style="0" customWidth="1"/>
    <col min="9" max="9" width="12.00390625" style="0" customWidth="1"/>
    <col min="10" max="10" width="13.50390625" style="0" customWidth="1"/>
  </cols>
  <sheetData>
    <row r="1" spans="1:10" ht="111" customHeight="1">
      <c r="A1" s="172" t="s">
        <v>166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54" customHeight="1">
      <c r="A2" s="178" t="s">
        <v>167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9" ht="18.75">
      <c r="A3" s="1" t="s">
        <v>77</v>
      </c>
      <c r="B3" s="1" t="s">
        <v>84</v>
      </c>
      <c r="C3" s="2"/>
      <c r="D3" s="2" t="s">
        <v>0</v>
      </c>
      <c r="E3" s="4">
        <v>5557.2</v>
      </c>
      <c r="F3" s="2"/>
      <c r="I3" s="87">
        <v>0</v>
      </c>
    </row>
    <row r="4" spans="2:9" ht="15.75">
      <c r="B4" s="3" t="s">
        <v>1</v>
      </c>
      <c r="C4" s="117">
        <v>9</v>
      </c>
      <c r="D4" s="2" t="s">
        <v>2</v>
      </c>
      <c r="E4" s="4">
        <v>108</v>
      </c>
      <c r="F4" s="2"/>
      <c r="I4" t="s">
        <v>100</v>
      </c>
    </row>
    <row r="5" spans="2:9" ht="15.75">
      <c r="B5" s="3" t="s">
        <v>3</v>
      </c>
      <c r="C5" s="4">
        <v>3</v>
      </c>
      <c r="D5" s="2" t="s">
        <v>4</v>
      </c>
      <c r="E5" s="2" t="s">
        <v>16</v>
      </c>
      <c r="F5" s="2"/>
      <c r="G5" s="2"/>
      <c r="I5" s="2" t="s">
        <v>139</v>
      </c>
    </row>
    <row r="6" spans="2:9" ht="15.75">
      <c r="B6" s="3"/>
      <c r="C6" s="4"/>
      <c r="D6" s="2" t="s">
        <v>5</v>
      </c>
      <c r="E6" s="2" t="s">
        <v>16</v>
      </c>
      <c r="F6" s="2"/>
      <c r="G6" s="2"/>
      <c r="I6" t="s">
        <v>140</v>
      </c>
    </row>
    <row r="7" spans="1:10" ht="39" customHeight="1">
      <c r="A7" s="22" t="s">
        <v>60</v>
      </c>
      <c r="B7" s="216" t="s">
        <v>141</v>
      </c>
      <c r="C7" s="217"/>
      <c r="D7" s="218"/>
      <c r="E7" s="11" t="s">
        <v>6</v>
      </c>
      <c r="F7" s="11" t="s">
        <v>7</v>
      </c>
      <c r="G7" s="33" t="s">
        <v>22</v>
      </c>
      <c r="H7" s="219" t="s">
        <v>142</v>
      </c>
      <c r="I7" s="220"/>
      <c r="J7" s="221"/>
    </row>
    <row r="8" spans="1:10" ht="15.75">
      <c r="A8" s="23">
        <v>1</v>
      </c>
      <c r="B8" s="171"/>
      <c r="C8" s="166"/>
      <c r="D8" s="166"/>
      <c r="E8" s="166"/>
      <c r="F8" s="167"/>
      <c r="G8" s="89"/>
      <c r="H8" s="90" t="s">
        <v>143</v>
      </c>
      <c r="I8" s="91" t="s">
        <v>144</v>
      </c>
      <c r="J8" s="91" t="s">
        <v>145</v>
      </c>
    </row>
    <row r="9" spans="1:10" ht="15.75">
      <c r="A9" s="23"/>
      <c r="B9" s="171" t="s">
        <v>146</v>
      </c>
      <c r="C9" s="166"/>
      <c r="D9" s="166"/>
      <c r="E9" s="166"/>
      <c r="F9" s="167"/>
      <c r="G9" s="78"/>
      <c r="H9" s="78"/>
      <c r="I9" s="58"/>
      <c r="J9" s="91"/>
    </row>
    <row r="10" spans="1:10" ht="15.75">
      <c r="A10" s="92"/>
      <c r="B10" s="215" t="s">
        <v>147</v>
      </c>
      <c r="C10" s="215"/>
      <c r="D10" s="215"/>
      <c r="E10" s="215"/>
      <c r="F10" s="215"/>
      <c r="G10" s="15"/>
      <c r="H10" s="93">
        <v>773163.11</v>
      </c>
      <c r="I10" s="75"/>
      <c r="J10" s="94">
        <f>H10+I10</f>
        <v>773163.11</v>
      </c>
    </row>
    <row r="11" spans="1:10" ht="15.75">
      <c r="A11" s="92"/>
      <c r="B11" s="215" t="s">
        <v>148</v>
      </c>
      <c r="C11" s="215"/>
      <c r="D11" s="215"/>
      <c r="E11" s="215"/>
      <c r="F11" s="215"/>
      <c r="G11" s="15"/>
      <c r="H11" s="16">
        <v>31323.98</v>
      </c>
      <c r="I11" s="75"/>
      <c r="J11" s="94">
        <f>H11+I11</f>
        <v>31323.98</v>
      </c>
    </row>
    <row r="12" spans="1:10" ht="15.75">
      <c r="A12" s="23"/>
      <c r="B12" s="215" t="s">
        <v>149</v>
      </c>
      <c r="C12" s="215"/>
      <c r="D12" s="215"/>
      <c r="E12" s="215"/>
      <c r="F12" s="215"/>
      <c r="G12" s="15"/>
      <c r="H12" s="93"/>
      <c r="I12" s="75">
        <v>0</v>
      </c>
      <c r="J12" s="94">
        <f>H12+I12</f>
        <v>0</v>
      </c>
    </row>
    <row r="13" spans="1:10" ht="15.75">
      <c r="A13" s="23"/>
      <c r="B13" s="215" t="s">
        <v>150</v>
      </c>
      <c r="C13" s="215"/>
      <c r="D13" s="215"/>
      <c r="E13" s="215"/>
      <c r="F13" s="215"/>
      <c r="G13" s="15"/>
      <c r="H13" s="93"/>
      <c r="I13" s="95">
        <v>0</v>
      </c>
      <c r="J13" s="94">
        <f>H13+I13</f>
        <v>0</v>
      </c>
    </row>
    <row r="14" spans="1:10" ht="15.75">
      <c r="A14" s="23"/>
      <c r="B14" s="181" t="s">
        <v>151</v>
      </c>
      <c r="C14" s="181"/>
      <c r="D14" s="181"/>
      <c r="E14" s="181"/>
      <c r="F14" s="181"/>
      <c r="G14" s="15"/>
      <c r="H14" s="96">
        <f>SUM(H10:H12)</f>
        <v>804487.09</v>
      </c>
      <c r="I14" s="97">
        <f>SUM(I10:I12)</f>
        <v>0</v>
      </c>
      <c r="J14" s="96">
        <f>SUM(J10:J12)</f>
        <v>804487.09</v>
      </c>
    </row>
    <row r="15" spans="1:10" ht="18.75">
      <c r="A15" s="23">
        <v>2</v>
      </c>
      <c r="B15" s="182" t="s">
        <v>65</v>
      </c>
      <c r="C15" s="182"/>
      <c r="D15" s="182"/>
      <c r="E15" s="182"/>
      <c r="F15" s="182"/>
      <c r="G15" s="15"/>
      <c r="H15" s="93"/>
      <c r="I15" s="75"/>
      <c r="J15" s="35"/>
    </row>
    <row r="16" spans="1:10" ht="15.75">
      <c r="A16" s="23" t="s">
        <v>152</v>
      </c>
      <c r="B16" s="19" t="s">
        <v>66</v>
      </c>
      <c r="C16" s="19"/>
      <c r="D16" s="19"/>
      <c r="E16" s="19"/>
      <c r="F16" s="5"/>
      <c r="G16" s="90"/>
      <c r="H16" s="90"/>
      <c r="I16" s="88"/>
      <c r="J16" s="91"/>
    </row>
    <row r="17" spans="1:10" ht="15.75" customHeight="1">
      <c r="A17" s="26"/>
      <c r="B17" s="212" t="s">
        <v>153</v>
      </c>
      <c r="C17" s="212"/>
      <c r="D17" s="212"/>
      <c r="E17" s="98" t="s">
        <v>32</v>
      </c>
      <c r="F17" s="80" t="s">
        <v>24</v>
      </c>
      <c r="G17" s="81">
        <v>1.06</v>
      </c>
      <c r="H17" s="99">
        <f>ROUND(G17*$E$3*12,2)</f>
        <v>70687.58</v>
      </c>
      <c r="I17" s="100">
        <f>$I$12*0.08</f>
        <v>0</v>
      </c>
      <c r="J17" s="101">
        <f>SUM(H17:I17)</f>
        <v>70687.58</v>
      </c>
    </row>
    <row r="18" spans="1:10" ht="36" customHeight="1">
      <c r="A18" s="23"/>
      <c r="B18" s="213" t="s">
        <v>17</v>
      </c>
      <c r="C18" s="213"/>
      <c r="D18" s="213"/>
      <c r="E18" s="98" t="s">
        <v>32</v>
      </c>
      <c r="F18" s="80" t="s">
        <v>19</v>
      </c>
      <c r="G18" s="81">
        <v>0.26</v>
      </c>
      <c r="H18" s="99">
        <f>ROUND(G18*$E$3*12,2)</f>
        <v>17338.46</v>
      </c>
      <c r="I18" s="100">
        <f>$I$12*0.02</f>
        <v>0</v>
      </c>
      <c r="J18" s="101">
        <f aca="true" t="shared" si="0" ref="J18:J37">SUM(H18:I18)</f>
        <v>17338.46</v>
      </c>
    </row>
    <row r="19" spans="1:10" ht="20.25" customHeight="1">
      <c r="A19" s="23"/>
      <c r="B19" s="211" t="s">
        <v>23</v>
      </c>
      <c r="C19" s="211"/>
      <c r="D19" s="211"/>
      <c r="E19" s="102" t="s">
        <v>154</v>
      </c>
      <c r="F19" s="83" t="s">
        <v>20</v>
      </c>
      <c r="G19" s="81">
        <v>0.9</v>
      </c>
      <c r="H19" s="99">
        <f>J19-I19</f>
        <v>70153.33</v>
      </c>
      <c r="I19" s="100">
        <f>$I$12*0.07</f>
        <v>0</v>
      </c>
      <c r="J19" s="103">
        <v>70153.33</v>
      </c>
    </row>
    <row r="20" spans="1:10" ht="20.25" customHeight="1">
      <c r="A20" s="26"/>
      <c r="B20" s="212" t="s">
        <v>31</v>
      </c>
      <c r="C20" s="212"/>
      <c r="D20" s="212"/>
      <c r="E20" s="104" t="s">
        <v>9</v>
      </c>
      <c r="F20" s="84" t="s">
        <v>10</v>
      </c>
      <c r="G20" s="81">
        <v>0.46</v>
      </c>
      <c r="H20" s="99">
        <f>ROUND(G20*$E$3*12,2)</f>
        <v>30675.74</v>
      </c>
      <c r="I20" s="100">
        <f>$I$12*0.04</f>
        <v>0</v>
      </c>
      <c r="J20" s="101">
        <f t="shared" si="0"/>
        <v>30675.74</v>
      </c>
    </row>
    <row r="21" spans="1:10" ht="44.25" customHeight="1">
      <c r="A21" s="23"/>
      <c r="B21" s="211" t="s">
        <v>27</v>
      </c>
      <c r="C21" s="211"/>
      <c r="D21" s="211"/>
      <c r="E21" s="102" t="s">
        <v>155</v>
      </c>
      <c r="F21" s="83" t="s">
        <v>25</v>
      </c>
      <c r="G21" s="81">
        <v>0.11</v>
      </c>
      <c r="H21" s="99">
        <f>J21-I21</f>
        <v>4257.05</v>
      </c>
      <c r="I21" s="100">
        <f>$I$12*0.01</f>
        <v>0</v>
      </c>
      <c r="J21" s="103">
        <v>4257.05</v>
      </c>
    </row>
    <row r="22" spans="1:10" ht="20.25" customHeight="1">
      <c r="A22" s="26"/>
      <c r="B22" s="211" t="s">
        <v>11</v>
      </c>
      <c r="C22" s="211"/>
      <c r="D22" s="211"/>
      <c r="E22" s="102" t="s">
        <v>9</v>
      </c>
      <c r="F22" s="83" t="s">
        <v>12</v>
      </c>
      <c r="G22" s="81">
        <v>1.93</v>
      </c>
      <c r="H22" s="99">
        <f>J22-I22</f>
        <v>128704.75199999998</v>
      </c>
      <c r="I22" s="100">
        <f>$I$12*0.15</f>
        <v>0</v>
      </c>
      <c r="J22" s="103">
        <f>G22*E3*12</f>
        <v>128704.75199999998</v>
      </c>
    </row>
    <row r="23" spans="1:10" ht="31.5" customHeight="1">
      <c r="A23" s="26"/>
      <c r="B23" s="211" t="s">
        <v>26</v>
      </c>
      <c r="C23" s="204"/>
      <c r="D23" s="204"/>
      <c r="E23" s="105" t="s">
        <v>13</v>
      </c>
      <c r="F23" s="77" t="s">
        <v>14</v>
      </c>
      <c r="G23" s="81">
        <v>0.04</v>
      </c>
      <c r="H23" s="99">
        <f>J23-I23</f>
        <v>3028.37</v>
      </c>
      <c r="I23" s="100">
        <f>$I$12*0.003</f>
        <v>0</v>
      </c>
      <c r="J23" s="103">
        <v>3028.37</v>
      </c>
    </row>
    <row r="24" spans="1:10" ht="28.5" customHeight="1">
      <c r="A24" s="23"/>
      <c r="B24" s="211" t="s">
        <v>71</v>
      </c>
      <c r="C24" s="211"/>
      <c r="D24" s="211"/>
      <c r="E24" s="98" t="s">
        <v>35</v>
      </c>
      <c r="F24" s="46" t="s">
        <v>82</v>
      </c>
      <c r="G24" s="81">
        <v>1.87</v>
      </c>
      <c r="H24" s="99">
        <f aca="true" t="shared" si="1" ref="H24:H29">ROUND(G24*$E$3*12,2)</f>
        <v>124703.57</v>
      </c>
      <c r="I24" s="100">
        <f>$I$12*0.19</f>
        <v>0</v>
      </c>
      <c r="J24" s="101">
        <f t="shared" si="0"/>
        <v>124703.57</v>
      </c>
    </row>
    <row r="25" spans="1:10" ht="26.25" customHeight="1">
      <c r="A25" s="23"/>
      <c r="B25" s="213" t="s">
        <v>15</v>
      </c>
      <c r="C25" s="213"/>
      <c r="D25" s="213"/>
      <c r="E25" s="98" t="s">
        <v>35</v>
      </c>
      <c r="F25" s="46" t="s">
        <v>82</v>
      </c>
      <c r="G25" s="81">
        <v>0.46</v>
      </c>
      <c r="H25" s="106">
        <f t="shared" si="1"/>
        <v>30675.74</v>
      </c>
      <c r="I25" s="100">
        <v>0</v>
      </c>
      <c r="J25" s="101">
        <f t="shared" si="0"/>
        <v>30675.74</v>
      </c>
    </row>
    <row r="26" spans="1:10" ht="30" customHeight="1">
      <c r="A26" s="23"/>
      <c r="B26" s="214" t="s">
        <v>36</v>
      </c>
      <c r="C26" s="209"/>
      <c r="D26" s="210"/>
      <c r="E26" s="98" t="s">
        <v>35</v>
      </c>
      <c r="F26" s="46" t="s">
        <v>82</v>
      </c>
      <c r="G26" s="48">
        <f>2.99-G27-G28</f>
        <v>2.49</v>
      </c>
      <c r="H26" s="106">
        <f t="shared" si="1"/>
        <v>166049.14</v>
      </c>
      <c r="I26" s="107">
        <f>$I$12*0.18</f>
        <v>0</v>
      </c>
      <c r="J26" s="101">
        <f t="shared" si="0"/>
        <v>166049.14</v>
      </c>
    </row>
    <row r="27" spans="1:10" ht="26.25" customHeight="1">
      <c r="A27" s="26"/>
      <c r="B27" s="211" t="s">
        <v>156</v>
      </c>
      <c r="C27" s="211"/>
      <c r="D27" s="211"/>
      <c r="E27" s="98" t="s">
        <v>35</v>
      </c>
      <c r="F27" s="46" t="s">
        <v>82</v>
      </c>
      <c r="G27" s="48">
        <v>0.25</v>
      </c>
      <c r="H27" s="106">
        <f t="shared" si="1"/>
        <v>16671.6</v>
      </c>
      <c r="I27" s="107">
        <f>$I$12*0.02</f>
        <v>0</v>
      </c>
      <c r="J27" s="101">
        <f t="shared" si="0"/>
        <v>16671.6</v>
      </c>
    </row>
    <row r="28" spans="1:10" ht="28.5" customHeight="1">
      <c r="A28" s="23"/>
      <c r="B28" s="211" t="s">
        <v>157</v>
      </c>
      <c r="C28" s="211"/>
      <c r="D28" s="211"/>
      <c r="E28" s="102" t="s">
        <v>9</v>
      </c>
      <c r="F28" s="46" t="s">
        <v>82</v>
      </c>
      <c r="G28" s="48">
        <v>0.25</v>
      </c>
      <c r="H28" s="106">
        <f t="shared" si="1"/>
        <v>16671.6</v>
      </c>
      <c r="I28" s="107">
        <f>$I$12*0.02</f>
        <v>0</v>
      </c>
      <c r="J28" s="101">
        <f t="shared" si="0"/>
        <v>16671.6</v>
      </c>
    </row>
    <row r="29" spans="1:10" ht="27" customHeight="1">
      <c r="A29" s="23"/>
      <c r="B29" s="204" t="s">
        <v>21</v>
      </c>
      <c r="C29" s="204"/>
      <c r="D29" s="204"/>
      <c r="E29" s="102" t="s">
        <v>9</v>
      </c>
      <c r="F29" s="46" t="s">
        <v>82</v>
      </c>
      <c r="G29" s="77">
        <v>1.26</v>
      </c>
      <c r="H29" s="99">
        <f t="shared" si="1"/>
        <v>84024.86</v>
      </c>
      <c r="I29" s="100">
        <f>$I$12*0.1</f>
        <v>0</v>
      </c>
      <c r="J29" s="101">
        <f t="shared" si="0"/>
        <v>84024.86</v>
      </c>
    </row>
    <row r="30" spans="1:10" ht="21.75" customHeight="1">
      <c r="A30" s="23"/>
      <c r="B30" s="205" t="s">
        <v>158</v>
      </c>
      <c r="C30" s="206"/>
      <c r="D30" s="207"/>
      <c r="E30" s="102" t="s">
        <v>9</v>
      </c>
      <c r="F30" s="46"/>
      <c r="G30" s="77"/>
      <c r="H30" s="106"/>
      <c r="I30" s="95"/>
      <c r="J30" s="108"/>
    </row>
    <row r="31" spans="1:10" ht="27" customHeight="1">
      <c r="A31" s="23"/>
      <c r="B31" s="205" t="s">
        <v>159</v>
      </c>
      <c r="C31" s="206"/>
      <c r="D31" s="207"/>
      <c r="E31" s="98" t="s">
        <v>35</v>
      </c>
      <c r="F31" s="46"/>
      <c r="G31" s="77"/>
      <c r="H31" s="106"/>
      <c r="I31" s="95"/>
      <c r="J31" s="108"/>
    </row>
    <row r="32" spans="1:10" ht="15.75">
      <c r="A32" s="23"/>
      <c r="B32" s="208"/>
      <c r="C32" s="209"/>
      <c r="D32" s="210"/>
      <c r="E32" s="102"/>
      <c r="F32" s="46"/>
      <c r="G32" s="77"/>
      <c r="H32" s="106"/>
      <c r="I32" s="95"/>
      <c r="J32" s="108"/>
    </row>
    <row r="33" spans="1:10" ht="15.75">
      <c r="A33" s="23"/>
      <c r="B33" s="208"/>
      <c r="C33" s="209"/>
      <c r="D33" s="210"/>
      <c r="E33" s="102"/>
      <c r="F33" s="46"/>
      <c r="G33" s="77"/>
      <c r="H33" s="106"/>
      <c r="I33" s="95"/>
      <c r="J33" s="108"/>
    </row>
    <row r="34" spans="1:10" ht="15.75">
      <c r="A34" s="23"/>
      <c r="B34" s="188" t="s">
        <v>30</v>
      </c>
      <c r="C34" s="188"/>
      <c r="D34" s="188"/>
      <c r="E34" s="14"/>
      <c r="F34" s="46"/>
      <c r="G34" s="21">
        <f>SUM(G17:G29)</f>
        <v>11.34</v>
      </c>
      <c r="H34" s="40">
        <f>SUM(H17:H33)</f>
        <v>763641.7919999999</v>
      </c>
      <c r="I34" s="109">
        <f>SUM(I17:I33)</f>
        <v>0</v>
      </c>
      <c r="J34" s="40">
        <f>SUM(J17:J33)</f>
        <v>763641.7919999999</v>
      </c>
    </row>
    <row r="35" spans="1:10" ht="15" customHeight="1">
      <c r="A35" s="23" t="s">
        <v>160</v>
      </c>
      <c r="B35" s="196" t="s">
        <v>161</v>
      </c>
      <c r="C35" s="197"/>
      <c r="D35" s="197"/>
      <c r="E35" s="198"/>
      <c r="F35" s="46" t="s">
        <v>82</v>
      </c>
      <c r="G35" s="24">
        <f>H35/E3/12</f>
        <v>0.21743563905084096</v>
      </c>
      <c r="H35" s="28">
        <v>14500</v>
      </c>
      <c r="I35" s="110">
        <v>0</v>
      </c>
      <c r="J35" s="96">
        <f t="shared" si="0"/>
        <v>14500</v>
      </c>
    </row>
    <row r="36" spans="1:10" ht="14.25" customHeight="1">
      <c r="A36" s="25"/>
      <c r="B36" s="199" t="s">
        <v>69</v>
      </c>
      <c r="C36" s="199"/>
      <c r="D36" s="199"/>
      <c r="E36" s="199"/>
      <c r="F36" s="199"/>
      <c r="G36" s="5">
        <f>SUM(G34:G35)</f>
        <v>11.55743563905084</v>
      </c>
      <c r="H36" s="41">
        <f>SUM(H34:H35)</f>
        <v>778141.7919999999</v>
      </c>
      <c r="I36" s="111">
        <f>SUM(I34:I35)</f>
        <v>0</v>
      </c>
      <c r="J36" s="41">
        <f>SUM(J34:J35)</f>
        <v>778141.7919999999</v>
      </c>
    </row>
    <row r="37" spans="1:10" ht="15.75">
      <c r="A37" s="23" t="s">
        <v>162</v>
      </c>
      <c r="B37" s="200" t="s">
        <v>163</v>
      </c>
      <c r="C37" s="200"/>
      <c r="D37" s="200"/>
      <c r="E37" s="200"/>
      <c r="F37" s="200"/>
      <c r="G37" s="112"/>
      <c r="H37" s="113">
        <v>0</v>
      </c>
      <c r="I37" s="113">
        <v>0</v>
      </c>
      <c r="J37" s="114">
        <f t="shared" si="0"/>
        <v>0</v>
      </c>
    </row>
    <row r="38" spans="1:10" ht="15" customHeight="1">
      <c r="A38" s="25"/>
      <c r="B38" s="199" t="s">
        <v>164</v>
      </c>
      <c r="C38" s="199"/>
      <c r="D38" s="199"/>
      <c r="E38" s="199"/>
      <c r="F38" s="199"/>
      <c r="G38" s="5">
        <f>SUM(G36:G37)</f>
        <v>11.55743563905084</v>
      </c>
      <c r="H38" s="41">
        <f>SUM(H36:H37)</f>
        <v>778141.7919999999</v>
      </c>
      <c r="I38" s="111">
        <f>SUM(I36:I37)</f>
        <v>0</v>
      </c>
      <c r="J38" s="41">
        <f>SUM(J36:J37)</f>
        <v>778141.7919999999</v>
      </c>
    </row>
    <row r="39" spans="1:10" ht="15.75">
      <c r="A39" s="23">
        <v>3</v>
      </c>
      <c r="B39" s="201" t="s">
        <v>165</v>
      </c>
      <c r="C39" s="202"/>
      <c r="D39" s="202"/>
      <c r="E39" s="202"/>
      <c r="F39" s="202"/>
      <c r="G39" s="203"/>
      <c r="H39" s="115">
        <f>H14-H38</f>
        <v>26345.298000000068</v>
      </c>
      <c r="I39" s="99">
        <f>I14-I38</f>
        <v>0</v>
      </c>
      <c r="J39" s="116">
        <f>J14-J38</f>
        <v>26345.298000000068</v>
      </c>
    </row>
    <row r="40" spans="2:6" ht="15.75">
      <c r="B40" s="34"/>
      <c r="F40" s="34"/>
    </row>
    <row r="41" spans="2:6" ht="15.75">
      <c r="B41" s="43" t="s">
        <v>78</v>
      </c>
      <c r="C41" s="43"/>
      <c r="D41" s="43"/>
      <c r="E41" s="34"/>
      <c r="F41" s="34"/>
    </row>
    <row r="42" spans="2:4" ht="15.75">
      <c r="B42" s="43"/>
      <c r="C42" s="43"/>
      <c r="D42" s="43"/>
    </row>
    <row r="43" spans="2:4" ht="15.75">
      <c r="B43" s="47" t="s">
        <v>168</v>
      </c>
      <c r="C43" s="47"/>
      <c r="D43" s="44"/>
    </row>
    <row r="44" spans="2:4" ht="15.75">
      <c r="B44" s="169" t="s">
        <v>86</v>
      </c>
      <c r="C44" s="169"/>
      <c r="D44" s="169"/>
    </row>
  </sheetData>
  <sheetProtection/>
  <mergeCells count="36">
    <mergeCell ref="B8:F8"/>
    <mergeCell ref="B9:F9"/>
    <mergeCell ref="A1:J1"/>
    <mergeCell ref="A2:J2"/>
    <mergeCell ref="B7:D7"/>
    <mergeCell ref="H7:J7"/>
    <mergeCell ref="B21:D21"/>
    <mergeCell ref="B22:D22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33:D33"/>
    <mergeCell ref="B34:D34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5:E35"/>
    <mergeCell ref="B44:D44"/>
    <mergeCell ref="B36:F36"/>
    <mergeCell ref="B37:F37"/>
    <mergeCell ref="B38:F38"/>
    <mergeCell ref="B39:G39"/>
  </mergeCells>
  <printOptions/>
  <pageMargins left="0" right="0" top="0" bottom="0" header="0.5118110236220472" footer="0.5118110236220472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8.00390625" style="0" customWidth="1"/>
    <col min="6" max="7" width="0.12890625" style="0" customWidth="1"/>
    <col min="8" max="8" width="12.625" style="0" customWidth="1"/>
    <col min="9" max="9" width="9.875" style="0" bestFit="1" customWidth="1"/>
  </cols>
  <sheetData>
    <row r="1" spans="1:8" ht="121.5" customHeight="1">
      <c r="A1" s="172" t="s">
        <v>191</v>
      </c>
      <c r="B1" s="172"/>
      <c r="C1" s="172"/>
      <c r="D1" s="172"/>
      <c r="E1" s="172"/>
      <c r="F1" s="172"/>
      <c r="G1" s="172"/>
      <c r="H1" s="172"/>
    </row>
    <row r="2" spans="1:6" ht="18.75">
      <c r="A2" s="1" t="s">
        <v>77</v>
      </c>
      <c r="B2" s="1" t="s">
        <v>84</v>
      </c>
      <c r="C2" s="2"/>
      <c r="D2" s="2" t="s">
        <v>0</v>
      </c>
      <c r="E2" s="4">
        <v>5557.2</v>
      </c>
      <c r="F2" s="2"/>
    </row>
    <row r="3" spans="2:6" ht="15.75">
      <c r="B3" s="3" t="s">
        <v>1</v>
      </c>
      <c r="C3" s="27">
        <v>9</v>
      </c>
      <c r="D3" s="2" t="s">
        <v>2</v>
      </c>
      <c r="E3" s="4">
        <v>108</v>
      </c>
      <c r="F3" s="2"/>
    </row>
    <row r="4" spans="2:7" ht="15.75">
      <c r="B4" s="3" t="s">
        <v>3</v>
      </c>
      <c r="C4" s="4">
        <v>3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42" customHeight="1">
      <c r="A6" s="118" t="s">
        <v>60</v>
      </c>
      <c r="B6" s="226" t="s">
        <v>141</v>
      </c>
      <c r="C6" s="227"/>
      <c r="D6" s="228"/>
      <c r="E6" s="73" t="s">
        <v>6</v>
      </c>
      <c r="F6" s="73" t="s">
        <v>7</v>
      </c>
      <c r="G6" s="119" t="s">
        <v>185</v>
      </c>
      <c r="H6" s="120" t="s">
        <v>133</v>
      </c>
    </row>
    <row r="7" spans="1:8" ht="15.75" customHeight="1">
      <c r="A7" s="74">
        <v>1</v>
      </c>
      <c r="B7" s="229" t="s">
        <v>134</v>
      </c>
      <c r="C7" s="229"/>
      <c r="D7" s="229"/>
      <c r="E7" s="229"/>
      <c r="F7" s="229"/>
      <c r="G7" s="75"/>
      <c r="H7" s="76"/>
    </row>
    <row r="8" spans="1:8" ht="15.75" customHeight="1">
      <c r="A8" s="74"/>
      <c r="B8" s="181" t="s">
        <v>186</v>
      </c>
      <c r="C8" s="181"/>
      <c r="D8" s="181"/>
      <c r="E8" s="181"/>
      <c r="F8" s="181"/>
      <c r="G8" s="24">
        <f>G31</f>
        <v>14.489999999999995</v>
      </c>
      <c r="H8" s="76">
        <f>ROUND($E$2*G8*12,0)</f>
        <v>966286</v>
      </c>
    </row>
    <row r="9" spans="1:8" ht="15.75" customHeight="1">
      <c r="A9" s="74"/>
      <c r="B9" s="231" t="s">
        <v>135</v>
      </c>
      <c r="C9" s="231"/>
      <c r="D9" s="231"/>
      <c r="E9" s="231"/>
      <c r="F9" s="231"/>
      <c r="G9" s="23">
        <v>0.76</v>
      </c>
      <c r="H9" s="76">
        <f>ROUND($E$2*G9*12,0)</f>
        <v>50682</v>
      </c>
    </row>
    <row r="10" spans="1:8" ht="15.75" customHeight="1">
      <c r="A10" s="74">
        <v>2</v>
      </c>
      <c r="B10" s="182" t="s">
        <v>65</v>
      </c>
      <c r="C10" s="182"/>
      <c r="D10" s="182"/>
      <c r="E10" s="182"/>
      <c r="F10" s="182"/>
      <c r="G10" s="77"/>
      <c r="H10" s="76"/>
    </row>
    <row r="11" spans="1:8" ht="18.75" customHeight="1">
      <c r="A11" s="74" t="s">
        <v>152</v>
      </c>
      <c r="B11" s="19" t="s">
        <v>66</v>
      </c>
      <c r="C11" s="19"/>
      <c r="D11" s="19"/>
      <c r="E11" s="19"/>
      <c r="F11" s="5"/>
      <c r="G11" s="78"/>
      <c r="H11" s="76"/>
    </row>
    <row r="12" spans="1:8" ht="34.5" customHeight="1">
      <c r="A12" s="79"/>
      <c r="B12" s="230" t="s">
        <v>207</v>
      </c>
      <c r="C12" s="230"/>
      <c r="D12" s="230"/>
      <c r="E12" s="98" t="s">
        <v>32</v>
      </c>
      <c r="F12" s="80" t="s">
        <v>24</v>
      </c>
      <c r="G12" s="81">
        <v>1.22</v>
      </c>
      <c r="H12" s="82">
        <f aca="true" t="shared" si="0" ref="H12:H31">ROUND($E$2*G12*12,0)</f>
        <v>81357</v>
      </c>
    </row>
    <row r="13" spans="1:9" ht="15.75" customHeight="1">
      <c r="A13" s="79"/>
      <c r="B13" s="230" t="s">
        <v>17</v>
      </c>
      <c r="C13" s="230"/>
      <c r="D13" s="230"/>
      <c r="E13" s="98" t="s">
        <v>32</v>
      </c>
      <c r="F13" s="80" t="s">
        <v>19</v>
      </c>
      <c r="G13" s="81">
        <v>0.28</v>
      </c>
      <c r="H13" s="82">
        <f t="shared" si="0"/>
        <v>18672</v>
      </c>
      <c r="I13" s="31"/>
    </row>
    <row r="14" spans="1:8" ht="18.75" customHeight="1">
      <c r="A14" s="79"/>
      <c r="B14" s="232" t="s">
        <v>23</v>
      </c>
      <c r="C14" s="232"/>
      <c r="D14" s="232"/>
      <c r="E14" s="102" t="s">
        <v>154</v>
      </c>
      <c r="F14" s="83" t="s">
        <v>20</v>
      </c>
      <c r="G14" s="81">
        <v>0.99</v>
      </c>
      <c r="H14" s="82">
        <f t="shared" si="0"/>
        <v>66020</v>
      </c>
    </row>
    <row r="15" spans="1:8" ht="15.75" customHeight="1">
      <c r="A15" s="79"/>
      <c r="B15" s="234" t="s">
        <v>31</v>
      </c>
      <c r="C15" s="234"/>
      <c r="D15" s="234"/>
      <c r="E15" s="104" t="s">
        <v>9</v>
      </c>
      <c r="F15" s="84" t="s">
        <v>10</v>
      </c>
      <c r="G15" s="81">
        <v>0.51</v>
      </c>
      <c r="H15" s="82">
        <f t="shared" si="0"/>
        <v>34010</v>
      </c>
    </row>
    <row r="16" spans="1:8" ht="31.5" customHeight="1">
      <c r="A16" s="79"/>
      <c r="B16" s="232" t="s">
        <v>27</v>
      </c>
      <c r="C16" s="232"/>
      <c r="D16" s="232"/>
      <c r="E16" s="102" t="s">
        <v>155</v>
      </c>
      <c r="F16" s="83" t="s">
        <v>25</v>
      </c>
      <c r="G16" s="81">
        <v>0.12</v>
      </c>
      <c r="H16" s="82">
        <f t="shared" si="0"/>
        <v>8002</v>
      </c>
    </row>
    <row r="17" spans="1:8" ht="15.75" customHeight="1">
      <c r="A17" s="79"/>
      <c r="B17" s="232" t="s">
        <v>11</v>
      </c>
      <c r="C17" s="232"/>
      <c r="D17" s="232"/>
      <c r="E17" s="102" t="s">
        <v>9</v>
      </c>
      <c r="F17" s="83" t="s">
        <v>12</v>
      </c>
      <c r="G17" s="81">
        <v>2.22</v>
      </c>
      <c r="H17" s="82">
        <f t="shared" si="0"/>
        <v>148044</v>
      </c>
    </row>
    <row r="18" spans="1:8" ht="15.75" customHeight="1">
      <c r="A18" s="79"/>
      <c r="B18" s="232" t="s">
        <v>26</v>
      </c>
      <c r="C18" s="233"/>
      <c r="D18" s="233"/>
      <c r="E18" s="105" t="s">
        <v>13</v>
      </c>
      <c r="F18" s="77" t="s">
        <v>136</v>
      </c>
      <c r="G18" s="81">
        <v>0.05</v>
      </c>
      <c r="H18" s="82">
        <f t="shared" si="0"/>
        <v>3334</v>
      </c>
    </row>
    <row r="19" spans="1:8" ht="33" customHeight="1">
      <c r="A19" s="79"/>
      <c r="B19" s="232" t="s">
        <v>71</v>
      </c>
      <c r="C19" s="232"/>
      <c r="D19" s="232"/>
      <c r="E19" s="98" t="s">
        <v>35</v>
      </c>
      <c r="F19" s="83" t="s">
        <v>82</v>
      </c>
      <c r="G19" s="81">
        <v>2.15</v>
      </c>
      <c r="H19" s="82">
        <f t="shared" si="0"/>
        <v>143376</v>
      </c>
    </row>
    <row r="20" spans="1:8" ht="36.75" customHeight="1">
      <c r="A20" s="79"/>
      <c r="B20" s="230" t="s">
        <v>15</v>
      </c>
      <c r="C20" s="230"/>
      <c r="D20" s="230"/>
      <c r="E20" s="98" t="s">
        <v>137</v>
      </c>
      <c r="F20" s="83" t="s">
        <v>82</v>
      </c>
      <c r="G20" s="81">
        <v>0.53</v>
      </c>
      <c r="H20" s="82">
        <f t="shared" si="0"/>
        <v>35344</v>
      </c>
    </row>
    <row r="21" spans="1:8" ht="36.75" customHeight="1">
      <c r="A21" s="79"/>
      <c r="B21" s="232" t="s">
        <v>36</v>
      </c>
      <c r="C21" s="233"/>
      <c r="D21" s="233"/>
      <c r="E21" s="98" t="s">
        <v>35</v>
      </c>
      <c r="F21" s="83" t="s">
        <v>82</v>
      </c>
      <c r="G21" s="81">
        <f>3.52-G22-G23</f>
        <v>2.94</v>
      </c>
      <c r="H21" s="82">
        <f t="shared" si="0"/>
        <v>196058</v>
      </c>
    </row>
    <row r="22" spans="1:8" ht="15.75" customHeight="1">
      <c r="A22" s="79"/>
      <c r="B22" s="232" t="s">
        <v>187</v>
      </c>
      <c r="C22" s="232"/>
      <c r="D22" s="232"/>
      <c r="E22" s="102" t="s">
        <v>9</v>
      </c>
      <c r="F22" s="83" t="s">
        <v>82</v>
      </c>
      <c r="G22" s="81">
        <v>0.29</v>
      </c>
      <c r="H22" s="82">
        <f t="shared" si="0"/>
        <v>19339</v>
      </c>
    </row>
    <row r="23" spans="1:8" ht="23.25" customHeight="1">
      <c r="A23" s="79"/>
      <c r="B23" s="232" t="s">
        <v>157</v>
      </c>
      <c r="C23" s="232"/>
      <c r="D23" s="232"/>
      <c r="E23" s="102" t="s">
        <v>9</v>
      </c>
      <c r="F23" s="83" t="s">
        <v>82</v>
      </c>
      <c r="G23" s="81">
        <v>0.29</v>
      </c>
      <c r="H23" s="82">
        <f t="shared" si="0"/>
        <v>19339</v>
      </c>
    </row>
    <row r="24" spans="1:8" ht="34.5" customHeight="1">
      <c r="A24" s="79"/>
      <c r="B24" s="233" t="s">
        <v>21</v>
      </c>
      <c r="C24" s="233"/>
      <c r="D24" s="233"/>
      <c r="E24" s="98" t="s">
        <v>35</v>
      </c>
      <c r="F24" s="83" t="s">
        <v>82</v>
      </c>
      <c r="G24" s="81">
        <v>1.45</v>
      </c>
      <c r="H24" s="82">
        <f t="shared" si="0"/>
        <v>96695</v>
      </c>
    </row>
    <row r="25" spans="1:8" ht="15.75">
      <c r="A25" s="23"/>
      <c r="B25" s="205" t="s">
        <v>158</v>
      </c>
      <c r="C25" s="206"/>
      <c r="D25" s="207"/>
      <c r="E25" s="102" t="s">
        <v>9</v>
      </c>
      <c r="F25" s="83"/>
      <c r="G25" s="81"/>
      <c r="H25" s="82"/>
    </row>
    <row r="26" spans="1:8" ht="31.5" customHeight="1">
      <c r="A26" s="23"/>
      <c r="B26" s="205" t="s">
        <v>159</v>
      </c>
      <c r="C26" s="206"/>
      <c r="D26" s="207"/>
      <c r="E26" s="98" t="s">
        <v>35</v>
      </c>
      <c r="F26" s="83"/>
      <c r="G26" s="81"/>
      <c r="H26" s="82"/>
    </row>
    <row r="27" spans="1:8" ht="15.75" customHeight="1">
      <c r="A27" s="79"/>
      <c r="B27" s="208"/>
      <c r="C27" s="209"/>
      <c r="D27" s="210"/>
      <c r="E27" s="98"/>
      <c r="F27" s="83"/>
      <c r="G27" s="81"/>
      <c r="H27" s="82"/>
    </row>
    <row r="28" spans="1:8" ht="15.75">
      <c r="A28" s="79"/>
      <c r="B28" s="208"/>
      <c r="C28" s="209"/>
      <c r="D28" s="210"/>
      <c r="E28" s="98"/>
      <c r="F28" s="83"/>
      <c r="G28" s="81"/>
      <c r="H28" s="82"/>
    </row>
    <row r="29" spans="1:8" ht="15.75">
      <c r="A29" s="79"/>
      <c r="B29" s="235" t="s">
        <v>30</v>
      </c>
      <c r="C29" s="236"/>
      <c r="D29" s="237"/>
      <c r="E29" s="14"/>
      <c r="F29" s="83"/>
      <c r="G29" s="21">
        <f>SUM(G12:G28)</f>
        <v>13.039999999999996</v>
      </c>
      <c r="H29" s="82">
        <f t="shared" si="0"/>
        <v>869591</v>
      </c>
    </row>
    <row r="30" spans="1:8" ht="27" customHeight="1">
      <c r="A30" s="74" t="s">
        <v>160</v>
      </c>
      <c r="B30" s="196" t="s">
        <v>188</v>
      </c>
      <c r="C30" s="197"/>
      <c r="D30" s="197"/>
      <c r="E30" s="198"/>
      <c r="F30" s="51" t="s">
        <v>138</v>
      </c>
      <c r="G30" s="24">
        <v>1.45</v>
      </c>
      <c r="H30" s="82">
        <f t="shared" si="0"/>
        <v>96695</v>
      </c>
    </row>
    <row r="31" spans="1:8" ht="15.75" customHeight="1">
      <c r="A31" s="74"/>
      <c r="B31" s="222" t="s">
        <v>189</v>
      </c>
      <c r="C31" s="222"/>
      <c r="D31" s="222"/>
      <c r="E31" s="222"/>
      <c r="F31" s="222"/>
      <c r="G31" s="21">
        <f>SUM(G29:G30)</f>
        <v>14.489999999999995</v>
      </c>
      <c r="H31" s="121">
        <f t="shared" si="0"/>
        <v>966286</v>
      </c>
    </row>
    <row r="32" spans="1:8" ht="31.5" customHeight="1" thickBot="1">
      <c r="A32" s="122">
        <v>3</v>
      </c>
      <c r="B32" s="223" t="s">
        <v>190</v>
      </c>
      <c r="C32" s="224"/>
      <c r="D32" s="225"/>
      <c r="E32" s="123"/>
      <c r="F32" s="124" t="s">
        <v>138</v>
      </c>
      <c r="G32" s="125">
        <v>0.76</v>
      </c>
      <c r="H32" s="126">
        <f>ROUND($E$2*G32*12,0)</f>
        <v>50682</v>
      </c>
    </row>
    <row r="33" spans="7:8" ht="15.75">
      <c r="G33" s="85"/>
      <c r="H33" s="86"/>
    </row>
    <row r="34" spans="2:8" ht="15.75" customHeight="1">
      <c r="B34" s="43" t="s">
        <v>78</v>
      </c>
      <c r="C34" s="43"/>
      <c r="D34" s="43"/>
      <c r="E34" s="34"/>
      <c r="G34" s="85"/>
      <c r="H34" s="86"/>
    </row>
  </sheetData>
  <sheetProtection/>
  <mergeCells count="27">
    <mergeCell ref="B13:D13"/>
    <mergeCell ref="B14:D14"/>
    <mergeCell ref="B15:D15"/>
    <mergeCell ref="B29:D29"/>
    <mergeCell ref="B24:D24"/>
    <mergeCell ref="B25:D25"/>
    <mergeCell ref="B26:D26"/>
    <mergeCell ref="B27:D27"/>
    <mergeCell ref="B28:D28"/>
    <mergeCell ref="B20:D20"/>
    <mergeCell ref="B21:D21"/>
    <mergeCell ref="B22:D22"/>
    <mergeCell ref="B23:D23"/>
    <mergeCell ref="B16:D16"/>
    <mergeCell ref="B17:D17"/>
    <mergeCell ref="B18:D18"/>
    <mergeCell ref="B19:D19"/>
    <mergeCell ref="B30:E30"/>
    <mergeCell ref="B31:F31"/>
    <mergeCell ref="B32:D32"/>
    <mergeCell ref="A1:H1"/>
    <mergeCell ref="B6:D6"/>
    <mergeCell ref="B7:F7"/>
    <mergeCell ref="B12:D12"/>
    <mergeCell ref="B8:F8"/>
    <mergeCell ref="B9:F9"/>
    <mergeCell ref="B10:F10"/>
  </mergeCells>
  <printOptions/>
  <pageMargins left="0.4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6">
      <selection activeCell="G17" sqref="G17:G29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8.625" style="0" customWidth="1"/>
    <col min="6" max="6" width="18.00390625" style="0" hidden="1" customWidth="1"/>
    <col min="7" max="7" width="6.75390625" style="0" bestFit="1" customWidth="1"/>
    <col min="8" max="8" width="11.625" style="0" customWidth="1"/>
    <col min="9" max="9" width="12.00390625" style="0" customWidth="1"/>
    <col min="10" max="10" width="13.50390625" style="0" customWidth="1"/>
  </cols>
  <sheetData>
    <row r="1" spans="1:10" ht="111" customHeight="1">
      <c r="A1" s="172" t="s">
        <v>213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54" customHeight="1">
      <c r="A2" s="178" t="s">
        <v>209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9" ht="18.75">
      <c r="A3" s="1" t="s">
        <v>77</v>
      </c>
      <c r="B3" s="1" t="s">
        <v>84</v>
      </c>
      <c r="C3" s="2"/>
      <c r="D3" s="2" t="s">
        <v>0</v>
      </c>
      <c r="E3" s="4">
        <v>5557.2</v>
      </c>
      <c r="F3" s="2"/>
      <c r="I3" s="87">
        <v>0</v>
      </c>
    </row>
    <row r="4" spans="2:9" ht="15.75">
      <c r="B4" s="3" t="s">
        <v>1</v>
      </c>
      <c r="C4" s="117">
        <v>9</v>
      </c>
      <c r="D4" s="2" t="s">
        <v>2</v>
      </c>
      <c r="E4" s="4">
        <v>108</v>
      </c>
      <c r="F4" s="2"/>
      <c r="I4" t="s">
        <v>100</v>
      </c>
    </row>
    <row r="5" spans="2:9" ht="15.75">
      <c r="B5" s="3" t="s">
        <v>3</v>
      </c>
      <c r="C5" s="4">
        <v>3</v>
      </c>
      <c r="D5" s="2" t="s">
        <v>4</v>
      </c>
      <c r="E5" s="2" t="s">
        <v>16</v>
      </c>
      <c r="F5" s="2"/>
      <c r="G5" s="2"/>
      <c r="I5" s="2" t="s">
        <v>139</v>
      </c>
    </row>
    <row r="6" spans="2:9" ht="15.75">
      <c r="B6" s="3"/>
      <c r="C6" s="4"/>
      <c r="D6" s="2" t="s">
        <v>5</v>
      </c>
      <c r="E6" s="2" t="s">
        <v>16</v>
      </c>
      <c r="F6" s="2"/>
      <c r="G6" s="2"/>
      <c r="I6" t="s">
        <v>140</v>
      </c>
    </row>
    <row r="7" spans="1:10" ht="39" customHeight="1">
      <c r="A7" s="22" t="s">
        <v>60</v>
      </c>
      <c r="B7" s="216" t="s">
        <v>141</v>
      </c>
      <c r="C7" s="217"/>
      <c r="D7" s="218"/>
      <c r="E7" s="11" t="s">
        <v>6</v>
      </c>
      <c r="F7" s="11" t="s">
        <v>7</v>
      </c>
      <c r="G7" s="33" t="s">
        <v>22</v>
      </c>
      <c r="H7" s="219" t="s">
        <v>142</v>
      </c>
      <c r="I7" s="220"/>
      <c r="J7" s="221"/>
    </row>
    <row r="8" spans="1:10" ht="15.75">
      <c r="A8" s="23">
        <v>1</v>
      </c>
      <c r="B8" s="171"/>
      <c r="C8" s="166"/>
      <c r="D8" s="166"/>
      <c r="E8" s="166"/>
      <c r="F8" s="167"/>
      <c r="G8" s="89"/>
      <c r="H8" s="90" t="s">
        <v>143</v>
      </c>
      <c r="I8" s="91" t="s">
        <v>144</v>
      </c>
      <c r="J8" s="91" t="s">
        <v>145</v>
      </c>
    </row>
    <row r="9" spans="1:10" ht="15.75">
      <c r="A9" s="23"/>
      <c r="B9" s="171" t="s">
        <v>146</v>
      </c>
      <c r="C9" s="166"/>
      <c r="D9" s="166"/>
      <c r="E9" s="166"/>
      <c r="F9" s="167"/>
      <c r="G9" s="78"/>
      <c r="H9" s="78"/>
      <c r="I9" s="58"/>
      <c r="J9" s="91"/>
    </row>
    <row r="10" spans="1:10" ht="15.75">
      <c r="A10" s="92"/>
      <c r="B10" s="215" t="s">
        <v>147</v>
      </c>
      <c r="C10" s="215"/>
      <c r="D10" s="215"/>
      <c r="E10" s="215"/>
      <c r="F10" s="215"/>
      <c r="G10" s="15"/>
      <c r="H10" s="93">
        <v>993171.1</v>
      </c>
      <c r="I10" s="75"/>
      <c r="J10" s="94">
        <f>H10+I10</f>
        <v>993171.1</v>
      </c>
    </row>
    <row r="11" spans="1:10" ht="15.75">
      <c r="A11" s="92"/>
      <c r="B11" s="215" t="s">
        <v>148</v>
      </c>
      <c r="C11" s="215"/>
      <c r="D11" s="215"/>
      <c r="E11" s="215"/>
      <c r="F11" s="215"/>
      <c r="G11" s="15"/>
      <c r="H11" s="16">
        <v>36527.19</v>
      </c>
      <c r="I11" s="75"/>
      <c r="J11" s="94">
        <f>H11+I11</f>
        <v>36527.19</v>
      </c>
    </row>
    <row r="12" spans="1:10" ht="15.75">
      <c r="A12" s="23"/>
      <c r="B12" s="215" t="s">
        <v>149</v>
      </c>
      <c r="C12" s="215"/>
      <c r="D12" s="215"/>
      <c r="E12" s="215"/>
      <c r="F12" s="215"/>
      <c r="G12" s="15"/>
      <c r="H12" s="93"/>
      <c r="I12" s="75">
        <v>0</v>
      </c>
      <c r="J12" s="94">
        <f>H12+I12</f>
        <v>0</v>
      </c>
    </row>
    <row r="13" spans="1:10" ht="15.75">
      <c r="A13" s="23"/>
      <c r="B13" s="215" t="s">
        <v>150</v>
      </c>
      <c r="C13" s="215"/>
      <c r="D13" s="215"/>
      <c r="E13" s="215"/>
      <c r="F13" s="215"/>
      <c r="G13" s="15"/>
      <c r="H13" s="93">
        <v>0</v>
      </c>
      <c r="I13" s="95">
        <v>0</v>
      </c>
      <c r="J13" s="94">
        <f>H13+I13</f>
        <v>0</v>
      </c>
    </row>
    <row r="14" spans="1:10" ht="15.75">
      <c r="A14" s="23"/>
      <c r="B14" s="181" t="s">
        <v>151</v>
      </c>
      <c r="C14" s="181"/>
      <c r="D14" s="181"/>
      <c r="E14" s="181"/>
      <c r="F14" s="181"/>
      <c r="G14" s="15"/>
      <c r="H14" s="96">
        <f>SUM(H10:H13)</f>
        <v>1029698.29</v>
      </c>
      <c r="I14" s="96">
        <f>SUM(I10:I13)</f>
        <v>0</v>
      </c>
      <c r="J14" s="96">
        <f>SUM(J10:J13)</f>
        <v>1029698.29</v>
      </c>
    </row>
    <row r="15" spans="1:10" ht="18.75">
      <c r="A15" s="23">
        <v>2</v>
      </c>
      <c r="B15" s="182" t="s">
        <v>65</v>
      </c>
      <c r="C15" s="182"/>
      <c r="D15" s="182"/>
      <c r="E15" s="182"/>
      <c r="F15" s="182"/>
      <c r="G15" s="15"/>
      <c r="H15" s="93"/>
      <c r="I15" s="75"/>
      <c r="J15" s="35"/>
    </row>
    <row r="16" spans="1:10" ht="15.75">
      <c r="A16" s="23" t="s">
        <v>152</v>
      </c>
      <c r="B16" s="19" t="s">
        <v>66</v>
      </c>
      <c r="C16" s="19"/>
      <c r="D16" s="19"/>
      <c r="E16" s="19"/>
      <c r="F16" s="5"/>
      <c r="G16" s="90"/>
      <c r="H16" s="90"/>
      <c r="I16" s="88"/>
      <c r="J16" s="91"/>
    </row>
    <row r="17" spans="1:10" ht="15.75" customHeight="1">
      <c r="A17" s="26"/>
      <c r="B17" s="212" t="s">
        <v>210</v>
      </c>
      <c r="C17" s="212"/>
      <c r="D17" s="212"/>
      <c r="E17" s="98" t="s">
        <v>32</v>
      </c>
      <c r="F17" s="80" t="s">
        <v>24</v>
      </c>
      <c r="G17" s="81">
        <v>1.22</v>
      </c>
      <c r="H17" s="99">
        <f>ROUND(G17*$E$3*12,2)</f>
        <v>81357.41</v>
      </c>
      <c r="I17" s="100">
        <f>$I$12*0.08</f>
        <v>0</v>
      </c>
      <c r="J17" s="101">
        <f>SUM(H17:I17)</f>
        <v>81357.41</v>
      </c>
    </row>
    <row r="18" spans="1:10" ht="36" customHeight="1">
      <c r="A18" s="23"/>
      <c r="B18" s="213" t="s">
        <v>17</v>
      </c>
      <c r="C18" s="213"/>
      <c r="D18" s="213"/>
      <c r="E18" s="98" t="s">
        <v>32</v>
      </c>
      <c r="F18" s="80" t="s">
        <v>19</v>
      </c>
      <c r="G18" s="81">
        <v>0.28</v>
      </c>
      <c r="H18" s="99">
        <f>ROUND(G18*$E$3*12,2)</f>
        <v>18672.19</v>
      </c>
      <c r="I18" s="100">
        <f>$I$12*0.02</f>
        <v>0</v>
      </c>
      <c r="J18" s="101">
        <f>SUM(H18:I18)</f>
        <v>18672.19</v>
      </c>
    </row>
    <row r="19" spans="1:10" ht="20.25" customHeight="1">
      <c r="A19" s="23"/>
      <c r="B19" s="211" t="s">
        <v>23</v>
      </c>
      <c r="C19" s="211"/>
      <c r="D19" s="211"/>
      <c r="E19" s="102" t="s">
        <v>154</v>
      </c>
      <c r="F19" s="83" t="s">
        <v>20</v>
      </c>
      <c r="G19" s="81">
        <v>0.99</v>
      </c>
      <c r="H19" s="99">
        <f>J19-I19</f>
        <v>71240.56</v>
      </c>
      <c r="I19" s="100">
        <f>$I$12*0.07</f>
        <v>0</v>
      </c>
      <c r="J19" s="103">
        <v>71240.56</v>
      </c>
    </row>
    <row r="20" spans="1:10" ht="20.25" customHeight="1">
      <c r="A20" s="26"/>
      <c r="B20" s="212" t="s">
        <v>31</v>
      </c>
      <c r="C20" s="212"/>
      <c r="D20" s="212"/>
      <c r="E20" s="104" t="s">
        <v>9</v>
      </c>
      <c r="F20" s="84" t="s">
        <v>10</v>
      </c>
      <c r="G20" s="81">
        <v>0.51</v>
      </c>
      <c r="H20" s="99">
        <f>ROUND(G20*$E$3*12,2)</f>
        <v>34010.06</v>
      </c>
      <c r="I20" s="100">
        <f>$I$12*0.04</f>
        <v>0</v>
      </c>
      <c r="J20" s="101">
        <f>SUM(H20:I20)</f>
        <v>34010.06</v>
      </c>
    </row>
    <row r="21" spans="1:10" ht="44.25" customHeight="1">
      <c r="A21" s="23"/>
      <c r="B21" s="211" t="s">
        <v>27</v>
      </c>
      <c r="C21" s="211"/>
      <c r="D21" s="211"/>
      <c r="E21" s="102" t="s">
        <v>155</v>
      </c>
      <c r="F21" s="83" t="s">
        <v>25</v>
      </c>
      <c r="G21" s="81">
        <v>0.12</v>
      </c>
      <c r="H21" s="99">
        <f>J21-I21</f>
        <v>2859.54</v>
      </c>
      <c r="I21" s="100">
        <f>$I$12*0.01</f>
        <v>0</v>
      </c>
      <c r="J21" s="103">
        <v>2859.54</v>
      </c>
    </row>
    <row r="22" spans="1:10" ht="20.25" customHeight="1">
      <c r="A22" s="26"/>
      <c r="B22" s="211" t="s">
        <v>11</v>
      </c>
      <c r="C22" s="211"/>
      <c r="D22" s="211"/>
      <c r="E22" s="102" t="s">
        <v>9</v>
      </c>
      <c r="F22" s="83" t="s">
        <v>12</v>
      </c>
      <c r="G22" s="81">
        <v>2.22</v>
      </c>
      <c r="H22" s="99">
        <f>J22-I22</f>
        <v>148043.80800000002</v>
      </c>
      <c r="I22" s="100">
        <f>$I$12*0.15</f>
        <v>0</v>
      </c>
      <c r="J22" s="103">
        <f>G22*E3*12</f>
        <v>148043.80800000002</v>
      </c>
    </row>
    <row r="23" spans="1:10" ht="31.5" customHeight="1">
      <c r="A23" s="26"/>
      <c r="B23" s="211" t="s">
        <v>26</v>
      </c>
      <c r="C23" s="204"/>
      <c r="D23" s="204"/>
      <c r="E23" s="105" t="s">
        <v>13</v>
      </c>
      <c r="F23" s="77" t="s">
        <v>14</v>
      </c>
      <c r="G23" s="81">
        <v>0.05</v>
      </c>
      <c r="H23" s="99">
        <f>J23-I23</f>
        <v>6594.19</v>
      </c>
      <c r="I23" s="100">
        <f>$I$12*0.003</f>
        <v>0</v>
      </c>
      <c r="J23" s="103">
        <v>6594.19</v>
      </c>
    </row>
    <row r="24" spans="1:10" ht="28.5" customHeight="1">
      <c r="A24" s="23"/>
      <c r="B24" s="211" t="s">
        <v>71</v>
      </c>
      <c r="C24" s="211"/>
      <c r="D24" s="211"/>
      <c r="E24" s="98" t="s">
        <v>35</v>
      </c>
      <c r="F24" s="46" t="s">
        <v>82</v>
      </c>
      <c r="G24" s="81">
        <v>2.15</v>
      </c>
      <c r="H24" s="99">
        <f aca="true" t="shared" si="0" ref="H24:H29">ROUND(G24*$E$3*12,2)</f>
        <v>143375.76</v>
      </c>
      <c r="I24" s="100">
        <f>$I$12*0.19</f>
        <v>0</v>
      </c>
      <c r="J24" s="101">
        <f aca="true" t="shared" si="1" ref="J24:J29">SUM(H24:I24)</f>
        <v>143375.76</v>
      </c>
    </row>
    <row r="25" spans="1:10" ht="26.25" customHeight="1">
      <c r="A25" s="23"/>
      <c r="B25" s="213" t="s">
        <v>15</v>
      </c>
      <c r="C25" s="213"/>
      <c r="D25" s="213"/>
      <c r="E25" s="98" t="s">
        <v>35</v>
      </c>
      <c r="F25" s="46" t="s">
        <v>82</v>
      </c>
      <c r="G25" s="81">
        <v>0.53</v>
      </c>
      <c r="H25" s="106">
        <f t="shared" si="0"/>
        <v>35343.79</v>
      </c>
      <c r="I25" s="100">
        <v>0</v>
      </c>
      <c r="J25" s="101">
        <f t="shared" si="1"/>
        <v>35343.79</v>
      </c>
    </row>
    <row r="26" spans="1:10" ht="30" customHeight="1">
      <c r="A26" s="23"/>
      <c r="B26" s="214" t="s">
        <v>36</v>
      </c>
      <c r="C26" s="209"/>
      <c r="D26" s="210"/>
      <c r="E26" s="98" t="s">
        <v>35</v>
      </c>
      <c r="F26" s="46" t="s">
        <v>82</v>
      </c>
      <c r="G26" s="48">
        <f>3.52-G27-G28</f>
        <v>2.94</v>
      </c>
      <c r="H26" s="106">
        <f t="shared" si="0"/>
        <v>196058.02</v>
      </c>
      <c r="I26" s="107">
        <f>$I$12*0.18</f>
        <v>0</v>
      </c>
      <c r="J26" s="101">
        <f t="shared" si="1"/>
        <v>196058.02</v>
      </c>
    </row>
    <row r="27" spans="1:10" ht="26.25" customHeight="1">
      <c r="A27" s="26"/>
      <c r="B27" s="211" t="s">
        <v>156</v>
      </c>
      <c r="C27" s="211"/>
      <c r="D27" s="211"/>
      <c r="E27" s="98" t="s">
        <v>35</v>
      </c>
      <c r="F27" s="46" t="s">
        <v>82</v>
      </c>
      <c r="G27" s="48">
        <v>0.29</v>
      </c>
      <c r="H27" s="106">
        <f t="shared" si="0"/>
        <v>19339.06</v>
      </c>
      <c r="I27" s="107">
        <f>$I$12*0.02</f>
        <v>0</v>
      </c>
      <c r="J27" s="101">
        <f t="shared" si="1"/>
        <v>19339.06</v>
      </c>
    </row>
    <row r="28" spans="1:10" ht="28.5" customHeight="1">
      <c r="A28" s="23"/>
      <c r="B28" s="211" t="s">
        <v>157</v>
      </c>
      <c r="C28" s="211"/>
      <c r="D28" s="211"/>
      <c r="E28" s="102" t="s">
        <v>9</v>
      </c>
      <c r="F28" s="46" t="s">
        <v>82</v>
      </c>
      <c r="G28" s="48">
        <v>0.29</v>
      </c>
      <c r="H28" s="106">
        <f t="shared" si="0"/>
        <v>19339.06</v>
      </c>
      <c r="I28" s="107">
        <f>$I$12*0.02</f>
        <v>0</v>
      </c>
      <c r="J28" s="101">
        <f t="shared" si="1"/>
        <v>19339.06</v>
      </c>
    </row>
    <row r="29" spans="1:10" ht="27" customHeight="1">
      <c r="A29" s="23"/>
      <c r="B29" s="204" t="s">
        <v>21</v>
      </c>
      <c r="C29" s="204"/>
      <c r="D29" s="204"/>
      <c r="E29" s="102" t="s">
        <v>35</v>
      </c>
      <c r="F29" s="46" t="s">
        <v>82</v>
      </c>
      <c r="G29" s="77">
        <v>1.45</v>
      </c>
      <c r="H29" s="99">
        <f t="shared" si="0"/>
        <v>96695.28</v>
      </c>
      <c r="I29" s="100">
        <f>$I$12*0.1</f>
        <v>0</v>
      </c>
      <c r="J29" s="101">
        <f t="shared" si="1"/>
        <v>96695.28</v>
      </c>
    </row>
    <row r="30" spans="1:10" ht="15.75">
      <c r="A30" s="23"/>
      <c r="B30" s="208"/>
      <c r="C30" s="209"/>
      <c r="D30" s="210"/>
      <c r="E30" s="102"/>
      <c r="F30" s="46"/>
      <c r="G30" s="77"/>
      <c r="H30" s="106"/>
      <c r="I30" s="95"/>
      <c r="J30" s="108"/>
    </row>
    <row r="31" spans="1:10" ht="15.75">
      <c r="A31" s="23"/>
      <c r="B31" s="208"/>
      <c r="C31" s="209"/>
      <c r="D31" s="210"/>
      <c r="E31" s="102"/>
      <c r="F31" s="46"/>
      <c r="G31" s="77"/>
      <c r="H31" s="106"/>
      <c r="I31" s="95"/>
      <c r="J31" s="108"/>
    </row>
    <row r="32" spans="1:10" ht="15.75">
      <c r="A32" s="23"/>
      <c r="B32" s="188" t="s">
        <v>30</v>
      </c>
      <c r="C32" s="188"/>
      <c r="D32" s="188"/>
      <c r="E32" s="14"/>
      <c r="F32" s="46"/>
      <c r="G32" s="21">
        <f>SUM(G17:G29)</f>
        <v>13.039999999999996</v>
      </c>
      <c r="H32" s="40">
        <f>SUM(H17:H31)</f>
        <v>872928.7280000002</v>
      </c>
      <c r="I32" s="109">
        <f>SUM(I17:I31)</f>
        <v>0</v>
      </c>
      <c r="J32" s="40">
        <f>SUM(J17:J31)</f>
        <v>872928.7280000002</v>
      </c>
    </row>
    <row r="33" spans="1:10" ht="15.75">
      <c r="A33" s="23"/>
      <c r="B33" s="205" t="s">
        <v>158</v>
      </c>
      <c r="C33" s="206"/>
      <c r="D33" s="207"/>
      <c r="E33" s="102" t="s">
        <v>9</v>
      </c>
      <c r="F33" s="46"/>
      <c r="G33" s="21"/>
      <c r="H33" s="40"/>
      <c r="I33" s="109"/>
      <c r="J33" s="40"/>
    </row>
    <row r="34" spans="1:10" ht="25.5">
      <c r="A34" s="23"/>
      <c r="B34" s="205" t="s">
        <v>159</v>
      </c>
      <c r="C34" s="206"/>
      <c r="D34" s="207"/>
      <c r="E34" s="98" t="s">
        <v>35</v>
      </c>
      <c r="F34" s="46"/>
      <c r="G34" s="21"/>
      <c r="H34" s="40"/>
      <c r="I34" s="109"/>
      <c r="J34" s="40"/>
    </row>
    <row r="35" spans="1:10" ht="15.75">
      <c r="A35" s="23"/>
      <c r="B35" s="235"/>
      <c r="C35" s="236"/>
      <c r="D35" s="236"/>
      <c r="E35" s="237"/>
      <c r="F35" s="46"/>
      <c r="G35" s="21"/>
      <c r="H35" s="40"/>
      <c r="I35" s="109"/>
      <c r="J35" s="40"/>
    </row>
    <row r="36" spans="1:10" ht="15" customHeight="1">
      <c r="A36" s="23" t="s">
        <v>160</v>
      </c>
      <c r="B36" s="196" t="s">
        <v>161</v>
      </c>
      <c r="C36" s="197"/>
      <c r="D36" s="197"/>
      <c r="E36" s="198"/>
      <c r="F36" s="46" t="s">
        <v>82</v>
      </c>
      <c r="G36" s="24">
        <f>H36/E3/12</f>
        <v>0</v>
      </c>
      <c r="H36" s="28">
        <v>0</v>
      </c>
      <c r="I36" s="110">
        <v>0</v>
      </c>
      <c r="J36" s="96">
        <f>SUM(H36:I36)</f>
        <v>0</v>
      </c>
    </row>
    <row r="37" spans="1:10" ht="14.25" customHeight="1">
      <c r="A37" s="25"/>
      <c r="B37" s="199" t="s">
        <v>69</v>
      </c>
      <c r="C37" s="199"/>
      <c r="D37" s="199"/>
      <c r="E37" s="199"/>
      <c r="F37" s="199"/>
      <c r="G37" s="5">
        <f>SUM(G32:G36)</f>
        <v>13.039999999999996</v>
      </c>
      <c r="H37" s="41">
        <f>SUM(H32:H36)</f>
        <v>872928.7280000002</v>
      </c>
      <c r="I37" s="111">
        <f>SUM(I32:I36)</f>
        <v>0</v>
      </c>
      <c r="J37" s="41">
        <f>SUM(J32:J36)</f>
        <v>872928.7280000002</v>
      </c>
    </row>
    <row r="38" spans="1:10" ht="15.75">
      <c r="A38" s="23" t="s">
        <v>162</v>
      </c>
      <c r="B38" s="200" t="s">
        <v>163</v>
      </c>
      <c r="C38" s="200"/>
      <c r="D38" s="200"/>
      <c r="E38" s="200"/>
      <c r="F38" s="200"/>
      <c r="G38" s="112"/>
      <c r="H38" s="113">
        <v>0</v>
      </c>
      <c r="I38" s="113">
        <v>0</v>
      </c>
      <c r="J38" s="114">
        <f>SUM(H38:I38)</f>
        <v>0</v>
      </c>
    </row>
    <row r="39" spans="1:10" ht="15" customHeight="1">
      <c r="A39" s="25"/>
      <c r="B39" s="199" t="s">
        <v>164</v>
      </c>
      <c r="C39" s="199"/>
      <c r="D39" s="199"/>
      <c r="E39" s="199"/>
      <c r="F39" s="199"/>
      <c r="G39" s="5">
        <f>SUM(G37:G38)</f>
        <v>13.039999999999996</v>
      </c>
      <c r="H39" s="41">
        <f>SUM(H37:H38)</f>
        <v>872928.7280000002</v>
      </c>
      <c r="I39" s="111">
        <f>SUM(I37:I38)</f>
        <v>0</v>
      </c>
      <c r="J39" s="41">
        <f>SUM(J37:J38)</f>
        <v>872928.7280000002</v>
      </c>
    </row>
    <row r="40" spans="1:10" ht="15.75">
      <c r="A40" s="23">
        <v>3</v>
      </c>
      <c r="B40" s="201" t="s">
        <v>211</v>
      </c>
      <c r="C40" s="202"/>
      <c r="D40" s="202"/>
      <c r="E40" s="202"/>
      <c r="F40" s="202"/>
      <c r="G40" s="203"/>
      <c r="H40" s="115">
        <f>H14-H39</f>
        <v>156769.5619999998</v>
      </c>
      <c r="I40" s="99">
        <f>I14-I39</f>
        <v>0</v>
      </c>
      <c r="J40" s="116">
        <f>J14-J39</f>
        <v>156769.5619999998</v>
      </c>
    </row>
    <row r="41" spans="2:6" ht="15.75">
      <c r="B41" s="34"/>
      <c r="F41" s="34"/>
    </row>
    <row r="42" spans="2:6" ht="15.75">
      <c r="B42" s="43" t="s">
        <v>78</v>
      </c>
      <c r="C42" s="43"/>
      <c r="D42" s="43"/>
      <c r="E42" s="34"/>
      <c r="F42" s="34"/>
    </row>
    <row r="43" spans="2:4" ht="15.75">
      <c r="B43" s="43"/>
      <c r="C43" s="43"/>
      <c r="D43" s="43"/>
    </row>
    <row r="44" spans="2:4" ht="15.75">
      <c r="B44" s="47" t="s">
        <v>212</v>
      </c>
      <c r="C44" s="47"/>
      <c r="D44" s="44"/>
    </row>
    <row r="45" spans="2:4" ht="15.75">
      <c r="B45" s="169" t="s">
        <v>86</v>
      </c>
      <c r="C45" s="169"/>
      <c r="D45" s="169"/>
    </row>
  </sheetData>
  <sheetProtection/>
  <mergeCells count="37">
    <mergeCell ref="B36:E36"/>
    <mergeCell ref="B37:F37"/>
    <mergeCell ref="B35:E35"/>
    <mergeCell ref="B33:D33"/>
    <mergeCell ref="B34:D34"/>
    <mergeCell ref="B38:F38"/>
    <mergeCell ref="B39:F39"/>
    <mergeCell ref="B40:G40"/>
    <mergeCell ref="B45:D45"/>
    <mergeCell ref="B25:D25"/>
    <mergeCell ref="B26:D26"/>
    <mergeCell ref="B27:D27"/>
    <mergeCell ref="B28:D28"/>
    <mergeCell ref="B29:D29"/>
    <mergeCell ref="B30:D30"/>
    <mergeCell ref="B31:D31"/>
    <mergeCell ref="B32:D32"/>
    <mergeCell ref="B17:D17"/>
    <mergeCell ref="B18:D18"/>
    <mergeCell ref="B19:D19"/>
    <mergeCell ref="B20:D20"/>
    <mergeCell ref="B21:D21"/>
    <mergeCell ref="B22:D22"/>
    <mergeCell ref="B23:D23"/>
    <mergeCell ref="B24:D24"/>
    <mergeCell ref="B8:F8"/>
    <mergeCell ref="B9:F9"/>
    <mergeCell ref="B10:F10"/>
    <mergeCell ref="B11:F11"/>
    <mergeCell ref="B12:F12"/>
    <mergeCell ref="B13:F13"/>
    <mergeCell ref="B14:F14"/>
    <mergeCell ref="B15:F15"/>
    <mergeCell ref="A1:J1"/>
    <mergeCell ref="A2:J2"/>
    <mergeCell ref="B7:D7"/>
    <mergeCell ref="H7:J7"/>
  </mergeCells>
  <printOptions/>
  <pageMargins left="0" right="0" top="0" bottom="0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5">
      <selection activeCell="I23" sqref="I23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8.00390625" style="0" customWidth="1"/>
    <col min="6" max="6" width="0.12890625" style="0" hidden="1" customWidth="1"/>
    <col min="7" max="7" width="7.375" style="0" hidden="1" customWidth="1"/>
    <col min="8" max="8" width="12.625" style="0" customWidth="1"/>
    <col min="9" max="9" width="9.875" style="0" bestFit="1" customWidth="1"/>
  </cols>
  <sheetData>
    <row r="1" spans="1:8" ht="121.5" customHeight="1">
      <c r="A1" s="172" t="s">
        <v>214</v>
      </c>
      <c r="B1" s="172"/>
      <c r="C1" s="172"/>
      <c r="D1" s="172"/>
      <c r="E1" s="172"/>
      <c r="F1" s="172"/>
      <c r="G1" s="172"/>
      <c r="H1" s="172"/>
    </row>
    <row r="2" spans="1:6" ht="18.75">
      <c r="A2" s="1" t="s">
        <v>77</v>
      </c>
      <c r="B2" s="1" t="s">
        <v>84</v>
      </c>
      <c r="C2" s="2"/>
      <c r="D2" s="2" t="s">
        <v>0</v>
      </c>
      <c r="E2" s="4">
        <v>5557.2</v>
      </c>
      <c r="F2" s="2"/>
    </row>
    <row r="3" spans="2:6" ht="15.75">
      <c r="B3" s="3" t="s">
        <v>1</v>
      </c>
      <c r="C3" s="27">
        <v>9</v>
      </c>
      <c r="D3" s="2" t="s">
        <v>2</v>
      </c>
      <c r="E3" s="4">
        <v>108</v>
      </c>
      <c r="F3" s="2"/>
    </row>
    <row r="4" spans="2:7" ht="15.75">
      <c r="B4" s="3" t="s">
        <v>3</v>
      </c>
      <c r="C4" s="4">
        <v>3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42" customHeight="1">
      <c r="A6" s="118" t="s">
        <v>60</v>
      </c>
      <c r="B6" s="226" t="s">
        <v>141</v>
      </c>
      <c r="C6" s="227"/>
      <c r="D6" s="228"/>
      <c r="E6" s="73" t="s">
        <v>6</v>
      </c>
      <c r="F6" s="73" t="s">
        <v>7</v>
      </c>
      <c r="G6" s="119" t="s">
        <v>185</v>
      </c>
      <c r="H6" s="120" t="s">
        <v>133</v>
      </c>
    </row>
    <row r="7" spans="1:8" ht="15.75" customHeight="1">
      <c r="A7" s="74">
        <v>1</v>
      </c>
      <c r="B7" s="229" t="s">
        <v>134</v>
      </c>
      <c r="C7" s="229"/>
      <c r="D7" s="229"/>
      <c r="E7" s="229"/>
      <c r="F7" s="229"/>
      <c r="G7" s="75"/>
      <c r="H7" s="76"/>
    </row>
    <row r="8" spans="1:8" ht="15.75" customHeight="1">
      <c r="A8" s="74"/>
      <c r="B8" s="181" t="s">
        <v>186</v>
      </c>
      <c r="C8" s="181"/>
      <c r="D8" s="181"/>
      <c r="E8" s="181"/>
      <c r="F8" s="181"/>
      <c r="G8" s="24">
        <f>G31</f>
        <v>14.900000000000002</v>
      </c>
      <c r="H8" s="76">
        <f>ROUND($E$2*G8*12,0)</f>
        <v>993627</v>
      </c>
    </row>
    <row r="9" spans="1:8" ht="15.75" customHeight="1">
      <c r="A9" s="74"/>
      <c r="B9" s="231" t="s">
        <v>135</v>
      </c>
      <c r="C9" s="231"/>
      <c r="D9" s="231"/>
      <c r="E9" s="231"/>
      <c r="F9" s="231"/>
      <c r="G9" s="23">
        <v>0.78</v>
      </c>
      <c r="H9" s="76">
        <f>ROUND($E$2*G9*12,0)</f>
        <v>52015</v>
      </c>
    </row>
    <row r="10" spans="1:8" ht="15.75" customHeight="1">
      <c r="A10" s="74">
        <v>2</v>
      </c>
      <c r="B10" s="182" t="s">
        <v>65</v>
      </c>
      <c r="C10" s="182"/>
      <c r="D10" s="182"/>
      <c r="E10" s="182"/>
      <c r="F10" s="182"/>
      <c r="G10" s="77"/>
      <c r="H10" s="76"/>
    </row>
    <row r="11" spans="1:8" ht="18.75" customHeight="1">
      <c r="A11" s="74" t="s">
        <v>152</v>
      </c>
      <c r="B11" s="19" t="s">
        <v>66</v>
      </c>
      <c r="C11" s="19"/>
      <c r="D11" s="19"/>
      <c r="E11" s="19"/>
      <c r="F11" s="5"/>
      <c r="G11" s="78"/>
      <c r="H11" s="76"/>
    </row>
    <row r="12" spans="1:8" ht="34.5" customHeight="1">
      <c r="A12" s="79"/>
      <c r="B12" s="230" t="s">
        <v>207</v>
      </c>
      <c r="C12" s="230"/>
      <c r="D12" s="230"/>
      <c r="E12" s="98" t="s">
        <v>32</v>
      </c>
      <c r="F12" s="80" t="s">
        <v>24</v>
      </c>
      <c r="G12" s="81">
        <v>1.26</v>
      </c>
      <c r="H12" s="82">
        <f aca="true" t="shared" si="0" ref="H12:H31">ROUND($E$2*G12*12,0)</f>
        <v>84025</v>
      </c>
    </row>
    <row r="13" spans="1:9" ht="15.75" customHeight="1">
      <c r="A13" s="79"/>
      <c r="B13" s="230" t="s">
        <v>17</v>
      </c>
      <c r="C13" s="230"/>
      <c r="D13" s="230"/>
      <c r="E13" s="98" t="s">
        <v>32</v>
      </c>
      <c r="F13" s="80" t="s">
        <v>19</v>
      </c>
      <c r="G13" s="81">
        <v>0.29</v>
      </c>
      <c r="H13" s="82">
        <f t="shared" si="0"/>
        <v>19339</v>
      </c>
      <c r="I13" s="31"/>
    </row>
    <row r="14" spans="1:8" ht="18.75" customHeight="1">
      <c r="A14" s="79"/>
      <c r="B14" s="232" t="s">
        <v>23</v>
      </c>
      <c r="C14" s="232"/>
      <c r="D14" s="232"/>
      <c r="E14" s="102" t="s">
        <v>154</v>
      </c>
      <c r="F14" s="83" t="s">
        <v>20</v>
      </c>
      <c r="G14" s="81">
        <v>1.02</v>
      </c>
      <c r="H14" s="82">
        <f t="shared" si="0"/>
        <v>68020</v>
      </c>
    </row>
    <row r="15" spans="1:8" ht="15.75" customHeight="1">
      <c r="A15" s="79"/>
      <c r="B15" s="234" t="s">
        <v>31</v>
      </c>
      <c r="C15" s="234"/>
      <c r="D15" s="234"/>
      <c r="E15" s="104" t="s">
        <v>9</v>
      </c>
      <c r="F15" s="84" t="s">
        <v>10</v>
      </c>
      <c r="G15" s="81">
        <v>0.53</v>
      </c>
      <c r="H15" s="82">
        <f t="shared" si="0"/>
        <v>35344</v>
      </c>
    </row>
    <row r="16" spans="1:8" ht="31.5" customHeight="1">
      <c r="A16" s="79"/>
      <c r="B16" s="232" t="s">
        <v>27</v>
      </c>
      <c r="C16" s="232"/>
      <c r="D16" s="232"/>
      <c r="E16" s="102" t="s">
        <v>155</v>
      </c>
      <c r="F16" s="83" t="s">
        <v>25</v>
      </c>
      <c r="G16" s="81">
        <v>0.12</v>
      </c>
      <c r="H16" s="82">
        <f t="shared" si="0"/>
        <v>8002</v>
      </c>
    </row>
    <row r="17" spans="1:8" ht="15.75" customHeight="1">
      <c r="A17" s="79"/>
      <c r="B17" s="232" t="s">
        <v>11</v>
      </c>
      <c r="C17" s="232"/>
      <c r="D17" s="232"/>
      <c r="E17" s="102" t="s">
        <v>9</v>
      </c>
      <c r="F17" s="83" t="s">
        <v>12</v>
      </c>
      <c r="G17" s="81">
        <v>2.29</v>
      </c>
      <c r="H17" s="82">
        <f t="shared" si="0"/>
        <v>152712</v>
      </c>
    </row>
    <row r="18" spans="1:8" ht="15.75" customHeight="1">
      <c r="A18" s="79"/>
      <c r="B18" s="232" t="s">
        <v>26</v>
      </c>
      <c r="C18" s="233"/>
      <c r="D18" s="233"/>
      <c r="E18" s="105" t="s">
        <v>13</v>
      </c>
      <c r="F18" s="77" t="s">
        <v>136</v>
      </c>
      <c r="G18" s="81">
        <v>0.05</v>
      </c>
      <c r="H18" s="82">
        <f t="shared" si="0"/>
        <v>3334</v>
      </c>
    </row>
    <row r="19" spans="1:8" ht="33" customHeight="1">
      <c r="A19" s="79"/>
      <c r="B19" s="232" t="s">
        <v>71</v>
      </c>
      <c r="C19" s="232"/>
      <c r="D19" s="232"/>
      <c r="E19" s="98" t="s">
        <v>35</v>
      </c>
      <c r="F19" s="83" t="s">
        <v>82</v>
      </c>
      <c r="G19" s="81">
        <v>2.21</v>
      </c>
      <c r="H19" s="82">
        <f t="shared" si="0"/>
        <v>147377</v>
      </c>
    </row>
    <row r="20" spans="1:8" ht="36.75" customHeight="1">
      <c r="A20" s="79"/>
      <c r="B20" s="230" t="s">
        <v>15</v>
      </c>
      <c r="C20" s="230"/>
      <c r="D20" s="230"/>
      <c r="E20" s="98" t="s">
        <v>137</v>
      </c>
      <c r="F20" s="83" t="s">
        <v>82</v>
      </c>
      <c r="G20" s="81">
        <v>0.53</v>
      </c>
      <c r="H20" s="82">
        <f t="shared" si="0"/>
        <v>35344</v>
      </c>
    </row>
    <row r="21" spans="1:8" ht="36.75" customHeight="1">
      <c r="A21" s="79"/>
      <c r="B21" s="232" t="s">
        <v>36</v>
      </c>
      <c r="C21" s="233"/>
      <c r="D21" s="233"/>
      <c r="E21" s="98" t="s">
        <v>35</v>
      </c>
      <c r="F21" s="83" t="s">
        <v>82</v>
      </c>
      <c r="G21" s="81">
        <f>3.62-G22-G23</f>
        <v>3.0200000000000005</v>
      </c>
      <c r="H21" s="82">
        <f t="shared" si="0"/>
        <v>201393</v>
      </c>
    </row>
    <row r="22" spans="1:8" ht="15.75" customHeight="1">
      <c r="A22" s="79"/>
      <c r="B22" s="232" t="s">
        <v>187</v>
      </c>
      <c r="C22" s="232"/>
      <c r="D22" s="232"/>
      <c r="E22" s="102" t="s">
        <v>9</v>
      </c>
      <c r="F22" s="83" t="s">
        <v>82</v>
      </c>
      <c r="G22" s="81">
        <v>0.3</v>
      </c>
      <c r="H22" s="82">
        <f t="shared" si="0"/>
        <v>20006</v>
      </c>
    </row>
    <row r="23" spans="1:8" ht="23.25" customHeight="1">
      <c r="A23" s="79"/>
      <c r="B23" s="232" t="s">
        <v>157</v>
      </c>
      <c r="C23" s="232"/>
      <c r="D23" s="232"/>
      <c r="E23" s="102" t="s">
        <v>9</v>
      </c>
      <c r="F23" s="83" t="s">
        <v>82</v>
      </c>
      <c r="G23" s="81">
        <v>0.3</v>
      </c>
      <c r="H23" s="82">
        <f t="shared" si="0"/>
        <v>20006</v>
      </c>
    </row>
    <row r="24" spans="1:8" ht="34.5" customHeight="1">
      <c r="A24" s="79"/>
      <c r="B24" s="233" t="s">
        <v>21</v>
      </c>
      <c r="C24" s="233"/>
      <c r="D24" s="233"/>
      <c r="E24" s="98" t="s">
        <v>35</v>
      </c>
      <c r="F24" s="83" t="s">
        <v>82</v>
      </c>
      <c r="G24" s="81">
        <v>1.49</v>
      </c>
      <c r="H24" s="82">
        <f t="shared" si="0"/>
        <v>99363</v>
      </c>
    </row>
    <row r="25" spans="1:8" ht="15.75">
      <c r="A25" s="23"/>
      <c r="B25" s="205" t="s">
        <v>158</v>
      </c>
      <c r="C25" s="206"/>
      <c r="D25" s="207"/>
      <c r="E25" s="102" t="s">
        <v>9</v>
      </c>
      <c r="F25" s="83"/>
      <c r="G25" s="81"/>
      <c r="H25" s="82"/>
    </row>
    <row r="26" spans="1:8" ht="31.5" customHeight="1">
      <c r="A26" s="23"/>
      <c r="B26" s="205" t="s">
        <v>159</v>
      </c>
      <c r="C26" s="206"/>
      <c r="D26" s="207"/>
      <c r="E26" s="98" t="s">
        <v>35</v>
      </c>
      <c r="F26" s="83"/>
      <c r="G26" s="81"/>
      <c r="H26" s="82"/>
    </row>
    <row r="27" spans="1:8" ht="15.75" customHeight="1">
      <c r="A27" s="79"/>
      <c r="B27" s="208"/>
      <c r="C27" s="209"/>
      <c r="D27" s="210"/>
      <c r="E27" s="98"/>
      <c r="F27" s="83"/>
      <c r="G27" s="81"/>
      <c r="H27" s="82"/>
    </row>
    <row r="28" spans="1:8" ht="15.75">
      <c r="A28" s="79"/>
      <c r="B28" s="208"/>
      <c r="C28" s="209"/>
      <c r="D28" s="210"/>
      <c r="E28" s="98"/>
      <c r="F28" s="83"/>
      <c r="G28" s="81"/>
      <c r="H28" s="82"/>
    </row>
    <row r="29" spans="1:8" ht="15.75">
      <c r="A29" s="79"/>
      <c r="B29" s="235" t="s">
        <v>30</v>
      </c>
      <c r="C29" s="236"/>
      <c r="D29" s="237"/>
      <c r="E29" s="14"/>
      <c r="F29" s="83"/>
      <c r="G29" s="21">
        <f>SUM(G12:G28)</f>
        <v>13.410000000000002</v>
      </c>
      <c r="H29" s="82">
        <f t="shared" si="0"/>
        <v>894265</v>
      </c>
    </row>
    <row r="30" spans="1:8" ht="19.5" customHeight="1">
      <c r="A30" s="74" t="s">
        <v>160</v>
      </c>
      <c r="B30" s="196" t="s">
        <v>215</v>
      </c>
      <c r="C30" s="197"/>
      <c r="D30" s="197"/>
      <c r="E30" s="198"/>
      <c r="F30" s="51" t="s">
        <v>138</v>
      </c>
      <c r="G30" s="24">
        <v>1.49</v>
      </c>
      <c r="H30" s="82">
        <v>104700</v>
      </c>
    </row>
    <row r="31" spans="1:8" ht="15.75" customHeight="1">
      <c r="A31" s="74"/>
      <c r="B31" s="222" t="s">
        <v>189</v>
      </c>
      <c r="C31" s="222"/>
      <c r="D31" s="222"/>
      <c r="E31" s="222"/>
      <c r="F31" s="222"/>
      <c r="G31" s="21">
        <f>SUM(G29:G30)</f>
        <v>14.900000000000002</v>
      </c>
      <c r="H31" s="121">
        <f t="shared" si="0"/>
        <v>993627</v>
      </c>
    </row>
    <row r="32" spans="1:8" ht="18.75" customHeight="1" thickBot="1">
      <c r="A32" s="122">
        <v>3</v>
      </c>
      <c r="B32" s="223" t="s">
        <v>216</v>
      </c>
      <c r="C32" s="224"/>
      <c r="D32" s="225"/>
      <c r="E32" s="123"/>
      <c r="F32" s="124" t="s">
        <v>138</v>
      </c>
      <c r="G32" s="125">
        <v>0.78</v>
      </c>
      <c r="H32" s="126">
        <f>ROUND($E$2*G32*12,0)</f>
        <v>52015</v>
      </c>
    </row>
    <row r="33" spans="2:8" ht="48" customHeight="1">
      <c r="B33" s="238" t="s">
        <v>217</v>
      </c>
      <c r="C33" s="238"/>
      <c r="D33" s="238"/>
      <c r="E33" s="238"/>
      <c r="G33" s="85"/>
      <c r="H33" s="86"/>
    </row>
    <row r="34" spans="2:8" ht="31.5" customHeight="1">
      <c r="B34" s="43" t="s">
        <v>78</v>
      </c>
      <c r="C34" s="43"/>
      <c r="D34" s="43"/>
      <c r="E34" s="34"/>
      <c r="G34" s="85"/>
      <c r="H34" s="86"/>
    </row>
  </sheetData>
  <sheetProtection/>
  <mergeCells count="28">
    <mergeCell ref="B31:F31"/>
    <mergeCell ref="B32:D32"/>
    <mergeCell ref="B26:D26"/>
    <mergeCell ref="B27:D27"/>
    <mergeCell ref="B28:D28"/>
    <mergeCell ref="B29:D29"/>
    <mergeCell ref="B23:D23"/>
    <mergeCell ref="B24:D24"/>
    <mergeCell ref="B25:D25"/>
    <mergeCell ref="B30:E30"/>
    <mergeCell ref="B19:D19"/>
    <mergeCell ref="B20:D20"/>
    <mergeCell ref="B21:D21"/>
    <mergeCell ref="B22:D22"/>
    <mergeCell ref="B15:D15"/>
    <mergeCell ref="B16:D16"/>
    <mergeCell ref="B17:D17"/>
    <mergeCell ref="B18:D18"/>
    <mergeCell ref="B33:E33"/>
    <mergeCell ref="A1:H1"/>
    <mergeCell ref="B6:D6"/>
    <mergeCell ref="B7:F7"/>
    <mergeCell ref="B8:F8"/>
    <mergeCell ref="B9:F9"/>
    <mergeCell ref="B10:F10"/>
    <mergeCell ref="B12:D12"/>
    <mergeCell ref="B13:D13"/>
    <mergeCell ref="B14:D14"/>
  </mergeCells>
  <printOptions/>
  <pageMargins left="0.93" right="0" top="0" bottom="0" header="0.5118110236220472" footer="0.511811023622047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29">
      <selection activeCell="G19" sqref="G19:G31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8.00390625" style="0" customWidth="1"/>
    <col min="6" max="6" width="27.375" style="0" hidden="1" customWidth="1"/>
    <col min="7" max="7" width="10.875" style="0" customWidth="1"/>
    <col min="8" max="8" width="12.625" style="0" customWidth="1"/>
    <col min="9" max="9" width="9.875" style="0" bestFit="1" customWidth="1"/>
  </cols>
  <sheetData>
    <row r="1" spans="3:8" ht="67.5" customHeight="1">
      <c r="C1" s="240" t="s">
        <v>224</v>
      </c>
      <c r="D1" s="240"/>
      <c r="E1" s="240"/>
      <c r="F1" s="240"/>
      <c r="G1" s="240"/>
      <c r="H1" s="240"/>
    </row>
    <row r="4" spans="1:8" ht="20.25" customHeight="1">
      <c r="A4" s="172" t="s">
        <v>218</v>
      </c>
      <c r="B4" s="172"/>
      <c r="C4" s="172"/>
      <c r="D4" s="172"/>
      <c r="E4" s="172"/>
      <c r="F4" s="172"/>
      <c r="G4" s="172"/>
      <c r="H4" s="172"/>
    </row>
    <row r="5" spans="1:6" ht="19.5">
      <c r="A5" s="130"/>
      <c r="B5" s="130"/>
      <c r="C5" s="130"/>
      <c r="D5" s="130"/>
      <c r="E5" s="130"/>
      <c r="F5" s="130"/>
    </row>
    <row r="6" spans="2:7" ht="19.5" customHeight="1">
      <c r="B6" s="241" t="s">
        <v>230</v>
      </c>
      <c r="C6" s="241"/>
      <c r="D6" s="241"/>
      <c r="E6" s="241"/>
      <c r="F6" s="241"/>
      <c r="G6" s="241"/>
    </row>
    <row r="8" spans="1:6" ht="18.75">
      <c r="A8" s="1" t="s">
        <v>77</v>
      </c>
      <c r="B8" s="1" t="s">
        <v>84</v>
      </c>
      <c r="C8" s="2"/>
      <c r="D8" s="2" t="s">
        <v>0</v>
      </c>
      <c r="E8" s="4">
        <v>5563.4</v>
      </c>
      <c r="F8" s="2"/>
    </row>
    <row r="9" spans="2:6" ht="15.75">
      <c r="B9" s="3" t="s">
        <v>1</v>
      </c>
      <c r="C9" s="27">
        <v>9</v>
      </c>
      <c r="D9" s="2" t="s">
        <v>2</v>
      </c>
      <c r="E9" s="4">
        <v>108</v>
      </c>
      <c r="F9" s="2"/>
    </row>
    <row r="10" spans="2:7" ht="15.75">
      <c r="B10" s="3" t="s">
        <v>3</v>
      </c>
      <c r="C10" s="4">
        <v>3</v>
      </c>
      <c r="D10" s="2" t="s">
        <v>4</v>
      </c>
      <c r="E10" s="2" t="s">
        <v>16</v>
      </c>
      <c r="F10" s="2"/>
      <c r="G10" s="2"/>
    </row>
    <row r="11" spans="2:7" ht="16.5" thickBot="1">
      <c r="B11" s="3"/>
      <c r="C11" s="4"/>
      <c r="D11" s="2" t="s">
        <v>5</v>
      </c>
      <c r="E11" s="2" t="s">
        <v>16</v>
      </c>
      <c r="F11" s="2"/>
      <c r="G11" s="2"/>
    </row>
    <row r="12" spans="1:8" ht="94.5">
      <c r="A12" s="118" t="s">
        <v>60</v>
      </c>
      <c r="B12" s="226" t="s">
        <v>141</v>
      </c>
      <c r="C12" s="227"/>
      <c r="D12" s="228"/>
      <c r="E12" s="73" t="s">
        <v>6</v>
      </c>
      <c r="F12" s="73" t="s">
        <v>7</v>
      </c>
      <c r="G12" s="136" t="s">
        <v>231</v>
      </c>
      <c r="H12" s="137" t="s">
        <v>232</v>
      </c>
    </row>
    <row r="13" spans="1:8" ht="27.75" customHeight="1">
      <c r="A13" s="131">
        <v>1</v>
      </c>
      <c r="B13" s="216">
        <v>2</v>
      </c>
      <c r="C13" s="217"/>
      <c r="D13" s="239"/>
      <c r="E13" s="133">
        <v>3</v>
      </c>
      <c r="F13" s="132"/>
      <c r="G13" s="134">
        <v>4</v>
      </c>
      <c r="H13" s="135" t="s">
        <v>233</v>
      </c>
    </row>
    <row r="14" spans="1:8" ht="15.75" customHeight="1" hidden="1">
      <c r="A14" s="74">
        <v>1</v>
      </c>
      <c r="B14" s="229" t="s">
        <v>134</v>
      </c>
      <c r="C14" s="229"/>
      <c r="D14" s="229"/>
      <c r="E14" s="229"/>
      <c r="F14" s="229"/>
      <c r="G14" s="75"/>
      <c r="H14" s="76"/>
    </row>
    <row r="15" spans="1:8" ht="15.75" customHeight="1" hidden="1">
      <c r="A15" s="74"/>
      <c r="B15" s="181" t="s">
        <v>186</v>
      </c>
      <c r="C15" s="181"/>
      <c r="D15" s="181"/>
      <c r="E15" s="181"/>
      <c r="F15" s="181"/>
      <c r="G15" s="24">
        <f>G36</f>
        <v>15.36</v>
      </c>
      <c r="H15" s="76">
        <f>ROUND($E$8*G15*12,0)</f>
        <v>1025446</v>
      </c>
    </row>
    <row r="16" spans="1:8" ht="15.75" customHeight="1" hidden="1">
      <c r="A16" s="74"/>
      <c r="B16" s="231" t="s">
        <v>135</v>
      </c>
      <c r="C16" s="231"/>
      <c r="D16" s="231"/>
      <c r="E16" s="231"/>
      <c r="F16" s="231"/>
      <c r="G16" s="23">
        <v>0.78</v>
      </c>
      <c r="H16" s="76">
        <f>ROUND($E$8*G16*12,0)</f>
        <v>52073</v>
      </c>
    </row>
    <row r="17" spans="1:8" ht="15.75" customHeight="1">
      <c r="A17" s="74" t="s">
        <v>95</v>
      </c>
      <c r="B17" s="182" t="s">
        <v>65</v>
      </c>
      <c r="C17" s="182"/>
      <c r="D17" s="182"/>
      <c r="E17" s="182"/>
      <c r="F17" s="182"/>
      <c r="G17" s="77"/>
      <c r="H17" s="76"/>
    </row>
    <row r="18" spans="1:8" ht="18.75" customHeight="1">
      <c r="A18" s="74" t="s">
        <v>225</v>
      </c>
      <c r="B18" s="19" t="s">
        <v>66</v>
      </c>
      <c r="C18" s="19"/>
      <c r="D18" s="19"/>
      <c r="E18" s="19"/>
      <c r="F18" s="5"/>
      <c r="G18" s="78"/>
      <c r="H18" s="76"/>
    </row>
    <row r="19" spans="1:8" ht="34.5" customHeight="1">
      <c r="A19" s="79"/>
      <c r="B19" s="230" t="s">
        <v>234</v>
      </c>
      <c r="C19" s="230"/>
      <c r="D19" s="230"/>
      <c r="E19" s="98" t="s">
        <v>32</v>
      </c>
      <c r="F19" s="80" t="s">
        <v>24</v>
      </c>
      <c r="G19" s="140">
        <v>1.29</v>
      </c>
      <c r="H19" s="82">
        <f aca="true" t="shared" si="0" ref="H19:H31">ROUND($E$8*G19*4,0)</f>
        <v>28707</v>
      </c>
    </row>
    <row r="20" spans="1:9" ht="15.75" customHeight="1">
      <c r="A20" s="79"/>
      <c r="B20" s="230" t="s">
        <v>17</v>
      </c>
      <c r="C20" s="230"/>
      <c r="D20" s="230"/>
      <c r="E20" s="98" t="s">
        <v>32</v>
      </c>
      <c r="F20" s="80" t="s">
        <v>19</v>
      </c>
      <c r="G20" s="140">
        <v>0.3</v>
      </c>
      <c r="H20" s="82">
        <f t="shared" si="0"/>
        <v>6676</v>
      </c>
      <c r="I20" s="31"/>
    </row>
    <row r="21" spans="1:8" ht="15.75">
      <c r="A21" s="79"/>
      <c r="B21" s="232" t="s">
        <v>23</v>
      </c>
      <c r="C21" s="232"/>
      <c r="D21" s="232"/>
      <c r="E21" s="102" t="s">
        <v>154</v>
      </c>
      <c r="F21" s="83" t="s">
        <v>20</v>
      </c>
      <c r="G21" s="140">
        <v>1.05</v>
      </c>
      <c r="H21" s="82">
        <f t="shared" si="0"/>
        <v>23366</v>
      </c>
    </row>
    <row r="22" spans="1:8" ht="15.75" customHeight="1">
      <c r="A22" s="79"/>
      <c r="B22" s="234" t="s">
        <v>31</v>
      </c>
      <c r="C22" s="234"/>
      <c r="D22" s="234"/>
      <c r="E22" s="104" t="s">
        <v>9</v>
      </c>
      <c r="F22" s="84" t="s">
        <v>10</v>
      </c>
      <c r="G22" s="140">
        <v>0.54</v>
      </c>
      <c r="H22" s="82">
        <f t="shared" si="0"/>
        <v>12017</v>
      </c>
    </row>
    <row r="23" spans="1:8" ht="51">
      <c r="A23" s="79"/>
      <c r="B23" s="232" t="s">
        <v>27</v>
      </c>
      <c r="C23" s="232"/>
      <c r="D23" s="232"/>
      <c r="E23" s="102" t="s">
        <v>155</v>
      </c>
      <c r="F23" s="83" t="s">
        <v>25</v>
      </c>
      <c r="G23" s="140">
        <v>0.13</v>
      </c>
      <c r="H23" s="82">
        <f t="shared" si="0"/>
        <v>2893</v>
      </c>
    </row>
    <row r="24" spans="1:8" ht="15.75" customHeight="1">
      <c r="A24" s="79"/>
      <c r="B24" s="232" t="s">
        <v>11</v>
      </c>
      <c r="C24" s="232"/>
      <c r="D24" s="232"/>
      <c r="E24" s="102" t="s">
        <v>9</v>
      </c>
      <c r="F24" s="83" t="s">
        <v>12</v>
      </c>
      <c r="G24" s="140">
        <v>2.35</v>
      </c>
      <c r="H24" s="82">
        <f t="shared" si="0"/>
        <v>52296</v>
      </c>
    </row>
    <row r="25" spans="1:8" ht="15.75" customHeight="1">
      <c r="A25" s="79"/>
      <c r="B25" s="232" t="s">
        <v>26</v>
      </c>
      <c r="C25" s="233"/>
      <c r="D25" s="233"/>
      <c r="E25" s="105" t="s">
        <v>13</v>
      </c>
      <c r="F25" s="77" t="s">
        <v>136</v>
      </c>
      <c r="G25" s="140">
        <v>0.05</v>
      </c>
      <c r="H25" s="82">
        <f t="shared" si="0"/>
        <v>1113</v>
      </c>
    </row>
    <row r="26" spans="1:8" ht="51">
      <c r="A26" s="79"/>
      <c r="B26" s="232" t="s">
        <v>71</v>
      </c>
      <c r="C26" s="232"/>
      <c r="D26" s="232"/>
      <c r="E26" s="98" t="s">
        <v>228</v>
      </c>
      <c r="F26" s="83" t="s">
        <v>82</v>
      </c>
      <c r="G26" s="140">
        <v>1.63</v>
      </c>
      <c r="H26" s="82">
        <f t="shared" si="0"/>
        <v>36273</v>
      </c>
    </row>
    <row r="27" spans="1:8" ht="51">
      <c r="A27" s="79"/>
      <c r="B27" s="230" t="s">
        <v>15</v>
      </c>
      <c r="C27" s="230"/>
      <c r="D27" s="230"/>
      <c r="E27" s="98" t="s">
        <v>137</v>
      </c>
      <c r="F27" s="83" t="s">
        <v>82</v>
      </c>
      <c r="G27" s="140">
        <v>0.56</v>
      </c>
      <c r="H27" s="82">
        <f t="shared" si="0"/>
        <v>12462</v>
      </c>
    </row>
    <row r="28" spans="1:8" ht="30" customHeight="1">
      <c r="A28" s="79"/>
      <c r="B28" s="232" t="s">
        <v>36</v>
      </c>
      <c r="C28" s="233"/>
      <c r="D28" s="233"/>
      <c r="E28" s="98" t="s">
        <v>35</v>
      </c>
      <c r="F28" s="83" t="s">
        <v>82</v>
      </c>
      <c r="G28" s="140">
        <f>4.38-G29-G30</f>
        <v>3.7600000000000002</v>
      </c>
      <c r="H28" s="82">
        <f t="shared" si="0"/>
        <v>83674</v>
      </c>
    </row>
    <row r="29" spans="1:8" ht="15.75" customHeight="1">
      <c r="A29" s="79"/>
      <c r="B29" s="232" t="s">
        <v>187</v>
      </c>
      <c r="C29" s="232"/>
      <c r="D29" s="232"/>
      <c r="E29" s="102" t="s">
        <v>9</v>
      </c>
      <c r="F29" s="83" t="s">
        <v>82</v>
      </c>
      <c r="G29" s="140">
        <v>0.31</v>
      </c>
      <c r="H29" s="82">
        <f t="shared" si="0"/>
        <v>6899</v>
      </c>
    </row>
    <row r="30" spans="1:8" ht="15.75">
      <c r="A30" s="79"/>
      <c r="B30" s="232" t="s">
        <v>157</v>
      </c>
      <c r="C30" s="232"/>
      <c r="D30" s="232"/>
      <c r="E30" s="102" t="s">
        <v>9</v>
      </c>
      <c r="F30" s="83" t="s">
        <v>82</v>
      </c>
      <c r="G30" s="140">
        <v>0.31</v>
      </c>
      <c r="H30" s="82">
        <f t="shared" si="0"/>
        <v>6899</v>
      </c>
    </row>
    <row r="31" spans="1:8" ht="25.5">
      <c r="A31" s="79"/>
      <c r="B31" s="233" t="s">
        <v>21</v>
      </c>
      <c r="C31" s="233"/>
      <c r="D31" s="233"/>
      <c r="E31" s="98" t="s">
        <v>35</v>
      </c>
      <c r="F31" s="83" t="s">
        <v>82</v>
      </c>
      <c r="G31" s="140">
        <v>1.54</v>
      </c>
      <c r="H31" s="82">
        <f t="shared" si="0"/>
        <v>34271</v>
      </c>
    </row>
    <row r="32" spans="1:8" ht="15.75" hidden="1">
      <c r="A32" s="23"/>
      <c r="B32" s="205" t="s">
        <v>158</v>
      </c>
      <c r="C32" s="206"/>
      <c r="D32" s="207"/>
      <c r="E32" s="102" t="s">
        <v>9</v>
      </c>
      <c r="F32" s="83"/>
      <c r="G32" s="140"/>
      <c r="H32" s="82">
        <f>ROUND($E$8*G32*2,0)</f>
        <v>0</v>
      </c>
    </row>
    <row r="33" spans="1:8" ht="25.5" hidden="1">
      <c r="A33" s="23"/>
      <c r="B33" s="205" t="s">
        <v>159</v>
      </c>
      <c r="C33" s="206"/>
      <c r="D33" s="207"/>
      <c r="E33" s="98" t="s">
        <v>35</v>
      </c>
      <c r="F33" s="83"/>
      <c r="G33" s="140"/>
      <c r="H33" s="82">
        <f>ROUND($E$8*G33*2,0)</f>
        <v>0</v>
      </c>
    </row>
    <row r="34" spans="1:8" ht="15.75">
      <c r="A34" s="79"/>
      <c r="B34" s="235" t="s">
        <v>30</v>
      </c>
      <c r="C34" s="236"/>
      <c r="D34" s="237"/>
      <c r="E34" s="14"/>
      <c r="F34" s="83"/>
      <c r="G34" s="141">
        <f>SUM(G19:G33)</f>
        <v>13.82</v>
      </c>
      <c r="H34" s="145">
        <f>SUM(H19:H33)</f>
        <v>307546</v>
      </c>
    </row>
    <row r="35" spans="1:8" ht="15.75">
      <c r="A35" s="74" t="s">
        <v>226</v>
      </c>
      <c r="B35" s="196" t="s">
        <v>215</v>
      </c>
      <c r="C35" s="197"/>
      <c r="D35" s="197"/>
      <c r="E35" s="102" t="s">
        <v>223</v>
      </c>
      <c r="F35" s="51" t="s">
        <v>138</v>
      </c>
      <c r="G35" s="142">
        <v>1.54</v>
      </c>
      <c r="H35" s="82">
        <f>ROUND($E$8*G35*4,0)</f>
        <v>34271</v>
      </c>
    </row>
    <row r="36" spans="1:8" ht="15.75" customHeight="1">
      <c r="A36" s="74" t="s">
        <v>227</v>
      </c>
      <c r="B36" s="222" t="s">
        <v>189</v>
      </c>
      <c r="C36" s="222"/>
      <c r="D36" s="222"/>
      <c r="E36" s="222"/>
      <c r="F36" s="222"/>
      <c r="G36" s="141">
        <f>SUM(G34:G35)</f>
        <v>15.36</v>
      </c>
      <c r="H36" s="146">
        <f>SUM(H34:H35)</f>
        <v>341817</v>
      </c>
    </row>
    <row r="37" spans="1:8" ht="18.75" customHeight="1" thickBot="1">
      <c r="A37" s="122" t="s">
        <v>98</v>
      </c>
      <c r="B37" s="223" t="s">
        <v>216</v>
      </c>
      <c r="C37" s="224"/>
      <c r="D37" s="225"/>
      <c r="E37" s="138" t="s">
        <v>223</v>
      </c>
      <c r="F37" s="124" t="s">
        <v>138</v>
      </c>
      <c r="G37" s="143">
        <v>0.8</v>
      </c>
      <c r="H37" s="139">
        <f>ROUND($E$8*G37*4,0)</f>
        <v>17803</v>
      </c>
    </row>
    <row r="38" spans="2:5" ht="15.75" customHeight="1">
      <c r="B38" s="242" t="s">
        <v>229</v>
      </c>
      <c r="C38" s="242"/>
      <c r="D38" s="242"/>
      <c r="E38" s="242"/>
    </row>
    <row r="40" spans="2:8" ht="15.75">
      <c r="B40" s="47" t="s">
        <v>219</v>
      </c>
      <c r="C40" s="47"/>
      <c r="D40" s="47"/>
      <c r="E40" s="34" t="s">
        <v>220</v>
      </c>
      <c r="F40" s="34"/>
      <c r="G40" s="34"/>
      <c r="H40" s="34"/>
    </row>
    <row r="42" spans="2:5" ht="15.75">
      <c r="B42" s="47" t="s">
        <v>221</v>
      </c>
      <c r="C42" s="47"/>
      <c r="D42" s="47"/>
      <c r="E42" t="s">
        <v>222</v>
      </c>
    </row>
  </sheetData>
  <mergeCells count="29">
    <mergeCell ref="B6:G6"/>
    <mergeCell ref="B35:D35"/>
    <mergeCell ref="B38:E38"/>
    <mergeCell ref="B31:D31"/>
    <mergeCell ref="B32:D32"/>
    <mergeCell ref="B25:D25"/>
    <mergeCell ref="B26:D26"/>
    <mergeCell ref="B27:D27"/>
    <mergeCell ref="B22:D22"/>
    <mergeCell ref="B23:D23"/>
    <mergeCell ref="C1:H1"/>
    <mergeCell ref="A4:H4"/>
    <mergeCell ref="B36:F36"/>
    <mergeCell ref="B37:D37"/>
    <mergeCell ref="B33:D33"/>
    <mergeCell ref="B34:D34"/>
    <mergeCell ref="B29:D29"/>
    <mergeCell ref="B30:D30"/>
    <mergeCell ref="B28:D28"/>
    <mergeCell ref="B21:D21"/>
    <mergeCell ref="B24:D24"/>
    <mergeCell ref="B16:F16"/>
    <mergeCell ref="B17:F17"/>
    <mergeCell ref="B19:D19"/>
    <mergeCell ref="B20:D20"/>
    <mergeCell ref="B12:D12"/>
    <mergeCell ref="B14:F14"/>
    <mergeCell ref="B15:F15"/>
    <mergeCell ref="B13:D13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tabSelected="1" workbookViewId="0" topLeftCell="A11">
      <selection activeCell="B12" sqref="B12:F12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8.625" style="0" customWidth="1"/>
    <col min="6" max="6" width="19.25390625" style="0" hidden="1" customWidth="1"/>
    <col min="7" max="7" width="10.00390625" style="0" hidden="1" customWidth="1"/>
    <col min="8" max="8" width="11.625" style="0" hidden="1" customWidth="1"/>
    <col min="9" max="9" width="11.00390625" style="0" hidden="1" customWidth="1"/>
    <col min="10" max="10" width="11.625" style="0" hidden="1" customWidth="1"/>
    <col min="11" max="11" width="20.75390625" style="0" customWidth="1"/>
    <col min="12" max="13" width="9.00390625" style="0" hidden="1" customWidth="1"/>
  </cols>
  <sheetData>
    <row r="1" spans="1:11" ht="111" customHeight="1">
      <c r="A1" s="172" t="s">
        <v>235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66.75" customHeight="1">
      <c r="A2" s="178" t="s">
        <v>236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9" ht="31.5">
      <c r="A3" s="1" t="s">
        <v>77</v>
      </c>
      <c r="B3" s="1" t="s">
        <v>84</v>
      </c>
      <c r="C3" s="2"/>
      <c r="D3" s="147" t="s">
        <v>237</v>
      </c>
      <c r="E3" s="4">
        <v>5563.4</v>
      </c>
      <c r="F3" s="2"/>
      <c r="I3" s="87"/>
    </row>
    <row r="4" spans="2:6" ht="15.75">
      <c r="B4" s="3" t="s">
        <v>1</v>
      </c>
      <c r="C4" s="117">
        <v>9</v>
      </c>
      <c r="D4" s="2" t="s">
        <v>2</v>
      </c>
      <c r="E4" s="4">
        <v>108</v>
      </c>
      <c r="F4" s="2"/>
    </row>
    <row r="5" spans="2:9" ht="15.75">
      <c r="B5" s="3" t="s">
        <v>3</v>
      </c>
      <c r="C5" s="4">
        <v>3</v>
      </c>
      <c r="D5" s="2" t="s">
        <v>4</v>
      </c>
      <c r="E5" s="2" t="s">
        <v>16</v>
      </c>
      <c r="F5" s="2"/>
      <c r="G5" s="2"/>
      <c r="I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13" ht="56.25" customHeight="1">
      <c r="A7" s="22" t="s">
        <v>60</v>
      </c>
      <c r="B7" s="216" t="s">
        <v>141</v>
      </c>
      <c r="C7" s="217"/>
      <c r="D7" s="218"/>
      <c r="E7" s="11" t="s">
        <v>6</v>
      </c>
      <c r="F7" s="11" t="s">
        <v>7</v>
      </c>
      <c r="G7" s="33" t="s">
        <v>238</v>
      </c>
      <c r="H7" s="148" t="s">
        <v>239</v>
      </c>
      <c r="I7" s="219" t="s">
        <v>240</v>
      </c>
      <c r="J7" s="220"/>
      <c r="K7" s="221"/>
      <c r="L7" s="57">
        <v>8</v>
      </c>
      <c r="M7" s="149" t="s">
        <v>241</v>
      </c>
    </row>
    <row r="8" spans="1:11" ht="15.75">
      <c r="A8" s="23">
        <v>1</v>
      </c>
      <c r="B8" s="171"/>
      <c r="C8" s="166"/>
      <c r="D8" s="166"/>
      <c r="E8" s="166"/>
      <c r="F8" s="167"/>
      <c r="G8" s="150"/>
      <c r="H8" s="150"/>
      <c r="I8" s="151" t="s">
        <v>143</v>
      </c>
      <c r="J8" s="91" t="s">
        <v>144</v>
      </c>
      <c r="K8" s="91" t="s">
        <v>145</v>
      </c>
    </row>
    <row r="9" spans="1:11" ht="15.75">
      <c r="A9" s="23"/>
      <c r="B9" s="171" t="s">
        <v>146</v>
      </c>
      <c r="C9" s="166"/>
      <c r="D9" s="166"/>
      <c r="E9" s="166"/>
      <c r="F9" s="167"/>
      <c r="G9" s="58"/>
      <c r="H9" s="58"/>
      <c r="I9" s="58"/>
      <c r="J9" s="58"/>
      <c r="K9" s="91"/>
    </row>
    <row r="10" spans="1:11" ht="15.75" customHeight="1">
      <c r="A10" s="92"/>
      <c r="B10" s="215" t="s">
        <v>147</v>
      </c>
      <c r="C10" s="215"/>
      <c r="D10" s="215"/>
      <c r="E10" s="215"/>
      <c r="F10" s="215"/>
      <c r="G10" s="15"/>
      <c r="H10" s="15"/>
      <c r="I10" s="93">
        <v>630552.75</v>
      </c>
      <c r="J10" s="75"/>
      <c r="K10" s="59">
        <f>I10+J10</f>
        <v>630552.75</v>
      </c>
    </row>
    <row r="11" spans="1:11" ht="15.75" customHeight="1">
      <c r="A11" s="92"/>
      <c r="B11" s="215" t="s">
        <v>148</v>
      </c>
      <c r="C11" s="215"/>
      <c r="D11" s="215"/>
      <c r="E11" s="215"/>
      <c r="F11" s="215"/>
      <c r="G11" s="15"/>
      <c r="H11" s="15"/>
      <c r="I11" s="16">
        <v>24856.73</v>
      </c>
      <c r="J11" s="75"/>
      <c r="K11" s="59">
        <f>I11+J11</f>
        <v>24856.73</v>
      </c>
    </row>
    <row r="12" spans="1:11" ht="15.75" customHeight="1">
      <c r="A12" s="23"/>
      <c r="B12" s="215" t="s">
        <v>149</v>
      </c>
      <c r="C12" s="215"/>
      <c r="D12" s="215"/>
      <c r="E12" s="215"/>
      <c r="F12" s="215"/>
      <c r="G12" s="15"/>
      <c r="H12" s="15"/>
      <c r="I12" s="93"/>
      <c r="J12" s="75">
        <v>0</v>
      </c>
      <c r="K12" s="59">
        <f>I12+J12</f>
        <v>0</v>
      </c>
    </row>
    <row r="13" spans="1:11" ht="15.75" customHeight="1">
      <c r="A13" s="23"/>
      <c r="B13" s="215" t="s">
        <v>242</v>
      </c>
      <c r="C13" s="215"/>
      <c r="D13" s="215"/>
      <c r="E13" s="215"/>
      <c r="F13" s="215"/>
      <c r="G13" s="15"/>
      <c r="H13" s="15"/>
      <c r="I13" s="93">
        <v>0</v>
      </c>
      <c r="J13" s="95">
        <v>0</v>
      </c>
      <c r="K13" s="59">
        <f>I13+J13</f>
        <v>0</v>
      </c>
    </row>
    <row r="14" spans="1:11" ht="15.75" customHeight="1">
      <c r="A14" s="23"/>
      <c r="B14" s="181" t="s">
        <v>151</v>
      </c>
      <c r="C14" s="181"/>
      <c r="D14" s="181"/>
      <c r="E14" s="181"/>
      <c r="F14" s="181"/>
      <c r="G14" s="15"/>
      <c r="H14" s="15"/>
      <c r="I14" s="96">
        <f>SUM(I10:I12)</f>
        <v>655409.48</v>
      </c>
      <c r="J14" s="97">
        <f>SUM(J10:J12)</f>
        <v>0</v>
      </c>
      <c r="K14" s="116">
        <f>SUM(K10:K13)</f>
        <v>655409.48</v>
      </c>
    </row>
    <row r="15" spans="1:11" ht="18.75" customHeight="1">
      <c r="A15" s="23">
        <v>2</v>
      </c>
      <c r="B15" s="246" t="s">
        <v>65</v>
      </c>
      <c r="C15" s="246"/>
      <c r="D15" s="246"/>
      <c r="E15" s="246"/>
      <c r="F15" s="246"/>
      <c r="G15" s="15"/>
      <c r="H15" s="15"/>
      <c r="I15" s="93"/>
      <c r="J15" s="75"/>
      <c r="K15" s="35"/>
    </row>
    <row r="16" spans="1:11" ht="15.75">
      <c r="A16" s="23" t="s">
        <v>152</v>
      </c>
      <c r="B16" s="152" t="s">
        <v>66</v>
      </c>
      <c r="C16" s="152"/>
      <c r="D16" s="152"/>
      <c r="E16" s="152"/>
      <c r="F16" s="112"/>
      <c r="G16" s="151"/>
      <c r="H16" s="151"/>
      <c r="I16" s="151"/>
      <c r="J16" s="88"/>
      <c r="K16" s="91"/>
    </row>
    <row r="17" spans="1:11" ht="15.75" customHeight="1">
      <c r="A17" s="26"/>
      <c r="B17" s="212" t="s">
        <v>243</v>
      </c>
      <c r="C17" s="212"/>
      <c r="D17" s="212"/>
      <c r="E17" s="98" t="s">
        <v>32</v>
      </c>
      <c r="F17" s="80" t="s">
        <v>24</v>
      </c>
      <c r="G17" s="81">
        <v>1.22</v>
      </c>
      <c r="H17" s="140">
        <v>1.29</v>
      </c>
      <c r="I17" s="99">
        <f>ROUND($E$3*G17*6,2)+ROUND($E$3*H17*($L$7-6),2)</f>
        <v>55077.659999999996</v>
      </c>
      <c r="J17" s="100"/>
      <c r="K17" s="101">
        <f>SUM(I17:J17)</f>
        <v>55077.659999999996</v>
      </c>
    </row>
    <row r="18" spans="1:11" ht="36" customHeight="1">
      <c r="A18" s="23"/>
      <c r="B18" s="213" t="s">
        <v>17</v>
      </c>
      <c r="C18" s="213"/>
      <c r="D18" s="213"/>
      <c r="E18" s="98" t="s">
        <v>32</v>
      </c>
      <c r="F18" s="80" t="s">
        <v>19</v>
      </c>
      <c r="G18" s="81">
        <v>0.28</v>
      </c>
      <c r="H18" s="140">
        <v>0.3</v>
      </c>
      <c r="I18" s="99">
        <f>ROUND($E$3*G18*6,2)+ROUND($E$3*H18*($L$7-6),2)</f>
        <v>12684.55</v>
      </c>
      <c r="J18" s="100"/>
      <c r="K18" s="101">
        <f aca="true" t="shared" si="0" ref="K18:K37">SUM(I18:J18)</f>
        <v>12684.55</v>
      </c>
    </row>
    <row r="19" spans="1:11" ht="20.25" customHeight="1">
      <c r="A19" s="23"/>
      <c r="B19" s="211" t="s">
        <v>23</v>
      </c>
      <c r="C19" s="211"/>
      <c r="D19" s="211"/>
      <c r="E19" s="102" t="s">
        <v>154</v>
      </c>
      <c r="F19" s="83" t="s">
        <v>20</v>
      </c>
      <c r="G19" s="81">
        <v>0.99</v>
      </c>
      <c r="H19" s="140">
        <v>1.05</v>
      </c>
      <c r="I19" s="99">
        <f>K19-J19</f>
        <v>47879.9</v>
      </c>
      <c r="J19" s="100"/>
      <c r="K19" s="103">
        <v>47879.9</v>
      </c>
    </row>
    <row r="20" spans="1:11" ht="20.25" customHeight="1">
      <c r="A20" s="26"/>
      <c r="B20" s="212" t="s">
        <v>31</v>
      </c>
      <c r="C20" s="212"/>
      <c r="D20" s="212"/>
      <c r="E20" s="104" t="s">
        <v>9</v>
      </c>
      <c r="F20" s="84" t="s">
        <v>10</v>
      </c>
      <c r="G20" s="81">
        <v>0.51</v>
      </c>
      <c r="H20" s="140">
        <v>0.54</v>
      </c>
      <c r="I20" s="99">
        <f>ROUND($E$3*G20*6,2)+ROUND($E$3*H20*($L$7-6),2)</f>
        <v>23032.47</v>
      </c>
      <c r="J20" s="100"/>
      <c r="K20" s="101">
        <f t="shared" si="0"/>
        <v>23032.47</v>
      </c>
    </row>
    <row r="21" spans="1:11" ht="55.5" customHeight="1">
      <c r="A21" s="23"/>
      <c r="B21" s="211" t="s">
        <v>27</v>
      </c>
      <c r="C21" s="211"/>
      <c r="D21" s="211"/>
      <c r="E21" s="102" t="s">
        <v>155</v>
      </c>
      <c r="F21" s="83" t="s">
        <v>25</v>
      </c>
      <c r="G21" s="81">
        <v>0.12</v>
      </c>
      <c r="H21" s="140">
        <v>0.13</v>
      </c>
      <c r="I21" s="99">
        <f>K21-J21</f>
        <v>4956.92</v>
      </c>
      <c r="J21" s="100"/>
      <c r="K21" s="103">
        <v>4956.92</v>
      </c>
    </row>
    <row r="22" spans="1:11" ht="20.25" customHeight="1">
      <c r="A22" s="26"/>
      <c r="B22" s="211" t="s">
        <v>11</v>
      </c>
      <c r="C22" s="211"/>
      <c r="D22" s="211"/>
      <c r="E22" s="102" t="s">
        <v>9</v>
      </c>
      <c r="F22" s="83" t="s">
        <v>12</v>
      </c>
      <c r="G22" s="81">
        <v>2.22</v>
      </c>
      <c r="H22" s="140">
        <v>2.35</v>
      </c>
      <c r="I22" s="99">
        <f>ROUND($E$3*G22*6,2)+ROUND($E$3*H22*($L$7-6),2)</f>
        <v>100252.47</v>
      </c>
      <c r="J22" s="100"/>
      <c r="K22" s="101">
        <f t="shared" si="0"/>
        <v>100252.47</v>
      </c>
    </row>
    <row r="23" spans="1:11" ht="31.5" customHeight="1">
      <c r="A23" s="26"/>
      <c r="B23" s="211" t="s">
        <v>26</v>
      </c>
      <c r="C23" s="204"/>
      <c r="D23" s="204"/>
      <c r="E23" s="105" t="s">
        <v>13</v>
      </c>
      <c r="F23" s="77" t="s">
        <v>14</v>
      </c>
      <c r="G23" s="81">
        <v>0.05</v>
      </c>
      <c r="H23" s="140">
        <v>0.05</v>
      </c>
      <c r="I23" s="99">
        <f>K23-J23</f>
        <v>4227.6</v>
      </c>
      <c r="J23" s="100"/>
      <c r="K23" s="103">
        <v>4227.6</v>
      </c>
    </row>
    <row r="24" spans="1:11" ht="56.25" customHeight="1">
      <c r="A24" s="23"/>
      <c r="B24" s="211" t="s">
        <v>71</v>
      </c>
      <c r="C24" s="211"/>
      <c r="D24" s="211"/>
      <c r="E24" s="98" t="s">
        <v>228</v>
      </c>
      <c r="F24" s="46" t="s">
        <v>82</v>
      </c>
      <c r="G24" s="81">
        <v>2.15</v>
      </c>
      <c r="H24" s="140">
        <v>2.28</v>
      </c>
      <c r="I24" s="99">
        <f>ROUND($E$3*G24*6,2)+ROUND($E$3*H24*($L$7-6),2)</f>
        <v>97136.95999999999</v>
      </c>
      <c r="J24" s="100"/>
      <c r="K24" s="101">
        <f t="shared" si="0"/>
        <v>97136.95999999999</v>
      </c>
    </row>
    <row r="25" spans="1:11" ht="52.5" customHeight="1">
      <c r="A25" s="23"/>
      <c r="B25" s="213" t="s">
        <v>15</v>
      </c>
      <c r="C25" s="213"/>
      <c r="D25" s="213"/>
      <c r="E25" s="98" t="s">
        <v>137</v>
      </c>
      <c r="F25" s="46" t="s">
        <v>82</v>
      </c>
      <c r="G25" s="81">
        <v>0.53</v>
      </c>
      <c r="H25" s="140">
        <v>0.56</v>
      </c>
      <c r="I25" s="99">
        <f>K25-J25</f>
        <v>23895.98</v>
      </c>
      <c r="J25" s="100"/>
      <c r="K25" s="101">
        <v>23895.98</v>
      </c>
    </row>
    <row r="26" spans="1:11" ht="30" customHeight="1">
      <c r="A26" s="23"/>
      <c r="B26" s="214" t="s">
        <v>36</v>
      </c>
      <c r="C26" s="209"/>
      <c r="D26" s="210"/>
      <c r="E26" s="98" t="s">
        <v>35</v>
      </c>
      <c r="F26" s="46" t="s">
        <v>82</v>
      </c>
      <c r="G26" s="48">
        <f>3.52-G27-G28</f>
        <v>2.94</v>
      </c>
      <c r="H26" s="140">
        <f>3.73-H27-H28</f>
        <v>3.11</v>
      </c>
      <c r="I26" s="99">
        <f>ROUND($E$3*G26*6,2)+ROUND($E$3*H26*($L$7-6),2)</f>
        <v>132742.73</v>
      </c>
      <c r="J26" s="107"/>
      <c r="K26" s="101">
        <f t="shared" si="0"/>
        <v>132742.73</v>
      </c>
    </row>
    <row r="27" spans="1:11" ht="26.25" customHeight="1">
      <c r="A27" s="26"/>
      <c r="B27" s="211" t="s">
        <v>156</v>
      </c>
      <c r="C27" s="211"/>
      <c r="D27" s="211"/>
      <c r="E27" s="102" t="s">
        <v>9</v>
      </c>
      <c r="F27" s="46" t="s">
        <v>82</v>
      </c>
      <c r="G27" s="48">
        <v>0.29</v>
      </c>
      <c r="H27" s="140">
        <v>0.31</v>
      </c>
      <c r="I27" s="153">
        <f>ROUND($E$3*G27*6,2)+ROUND($E$3*H27*($L$7-6),2)</f>
        <v>13129.63</v>
      </c>
      <c r="J27" s="107"/>
      <c r="K27" s="101">
        <f t="shared" si="0"/>
        <v>13129.63</v>
      </c>
    </row>
    <row r="28" spans="1:11" ht="28.5" customHeight="1">
      <c r="A28" s="23"/>
      <c r="B28" s="211" t="s">
        <v>157</v>
      </c>
      <c r="C28" s="211"/>
      <c r="D28" s="211"/>
      <c r="E28" s="102" t="s">
        <v>9</v>
      </c>
      <c r="F28" s="46" t="s">
        <v>82</v>
      </c>
      <c r="G28" s="48">
        <v>0.29</v>
      </c>
      <c r="H28" s="140">
        <v>0.31</v>
      </c>
      <c r="I28" s="153">
        <f>ROUND($E$3*G28*6,2)+ROUND($E$3*H28*($L$7-6),2)</f>
        <v>13129.63</v>
      </c>
      <c r="J28" s="107"/>
      <c r="K28" s="101">
        <f t="shared" si="0"/>
        <v>13129.63</v>
      </c>
    </row>
    <row r="29" spans="1:11" ht="27" customHeight="1">
      <c r="A29" s="23"/>
      <c r="B29" s="204" t="s">
        <v>21</v>
      </c>
      <c r="C29" s="204"/>
      <c r="D29" s="204"/>
      <c r="E29" s="98" t="s">
        <v>35</v>
      </c>
      <c r="F29" s="46" t="s">
        <v>82</v>
      </c>
      <c r="G29" s="77">
        <v>1.45</v>
      </c>
      <c r="H29" s="140">
        <v>1.54</v>
      </c>
      <c r="I29" s="99">
        <f>ROUND($E$3*G29*6,2)+ROUND($E$3*H29*($L$7-6),2)</f>
        <v>65536.85</v>
      </c>
      <c r="J29" s="100"/>
      <c r="K29" s="101">
        <f t="shared" si="0"/>
        <v>65536.85</v>
      </c>
    </row>
    <row r="30" spans="1:11" ht="15.75">
      <c r="A30" s="23"/>
      <c r="B30" s="208"/>
      <c r="C30" s="209"/>
      <c r="D30" s="210"/>
      <c r="E30" s="154"/>
      <c r="F30" s="46"/>
      <c r="G30" s="77"/>
      <c r="H30" s="77"/>
      <c r="I30" s="106"/>
      <c r="J30" s="95"/>
      <c r="K30" s="108"/>
    </row>
    <row r="31" spans="1:11" ht="15.75">
      <c r="A31" s="23"/>
      <c r="B31" s="243" t="s">
        <v>30</v>
      </c>
      <c r="C31" s="243"/>
      <c r="D31" s="243"/>
      <c r="E31" s="23"/>
      <c r="F31" s="46"/>
      <c r="G31" s="24">
        <f>SUM(G17:G29)</f>
        <v>13.039999999999996</v>
      </c>
      <c r="H31" s="24">
        <f>SUM(H17:H29)</f>
        <v>13.82</v>
      </c>
      <c r="I31" s="116">
        <f>SUM(I17:I30)</f>
        <v>593683.35</v>
      </c>
      <c r="J31" s="97"/>
      <c r="K31" s="116">
        <f>SUM(K17:K30)</f>
        <v>593683.35</v>
      </c>
    </row>
    <row r="32" spans="1:11" ht="15.75" hidden="1">
      <c r="A32" s="23"/>
      <c r="B32" s="205" t="s">
        <v>158</v>
      </c>
      <c r="C32" s="206"/>
      <c r="D32" s="207"/>
      <c r="E32" s="154" t="s">
        <v>9</v>
      </c>
      <c r="F32" s="46"/>
      <c r="G32" s="77"/>
      <c r="H32" s="77"/>
      <c r="I32" s="106"/>
      <c r="J32" s="95"/>
      <c r="K32" s="108"/>
    </row>
    <row r="33" spans="1:11" ht="25.5" hidden="1">
      <c r="A33" s="23"/>
      <c r="B33" s="205" t="s">
        <v>159</v>
      </c>
      <c r="C33" s="206"/>
      <c r="D33" s="207"/>
      <c r="E33" s="155" t="s">
        <v>35</v>
      </c>
      <c r="F33" s="46"/>
      <c r="G33" s="77"/>
      <c r="H33" s="77"/>
      <c r="I33" s="106"/>
      <c r="J33" s="95"/>
      <c r="K33" s="108"/>
    </row>
    <row r="34" spans="1:11" ht="15.75" hidden="1">
      <c r="A34" s="23"/>
      <c r="B34" s="208"/>
      <c r="C34" s="209"/>
      <c r="D34" s="210"/>
      <c r="E34" s="154"/>
      <c r="F34" s="46"/>
      <c r="G34" s="77"/>
      <c r="H34" s="77"/>
      <c r="I34" s="106"/>
      <c r="J34" s="95"/>
      <c r="K34" s="108"/>
    </row>
    <row r="35" spans="1:11" ht="38.25" customHeight="1">
      <c r="A35" s="23" t="s">
        <v>160</v>
      </c>
      <c r="B35" s="196" t="s">
        <v>161</v>
      </c>
      <c r="C35" s="197"/>
      <c r="D35" s="197"/>
      <c r="E35" s="198"/>
      <c r="F35" s="46" t="s">
        <v>82</v>
      </c>
      <c r="G35" s="24">
        <f>I35/E3/6</f>
        <v>4.02886124791794</v>
      </c>
      <c r="H35" s="24">
        <v>0</v>
      </c>
      <c r="I35" s="156">
        <v>134485</v>
      </c>
      <c r="J35" s="110"/>
      <c r="K35" s="116">
        <f t="shared" si="0"/>
        <v>134485</v>
      </c>
    </row>
    <row r="36" spans="1:11" ht="15" customHeight="1">
      <c r="A36" s="25"/>
      <c r="B36" s="200" t="s">
        <v>69</v>
      </c>
      <c r="C36" s="200"/>
      <c r="D36" s="200"/>
      <c r="E36" s="200"/>
      <c r="F36" s="200"/>
      <c r="G36" s="24">
        <f>SUM(G31:G35)</f>
        <v>17.068861247917937</v>
      </c>
      <c r="H36" s="24">
        <f>SUM(H31:H35)</f>
        <v>13.82</v>
      </c>
      <c r="I36" s="157">
        <f>SUM(I31:I35)</f>
        <v>728168.35</v>
      </c>
      <c r="J36" s="158"/>
      <c r="K36" s="158">
        <f>SUM(K31:K35)</f>
        <v>728168.35</v>
      </c>
    </row>
    <row r="37" spans="1:11" ht="14.25" customHeight="1">
      <c r="A37" s="23" t="s">
        <v>162</v>
      </c>
      <c r="B37" s="200" t="s">
        <v>163</v>
      </c>
      <c r="C37" s="200"/>
      <c r="D37" s="200"/>
      <c r="E37" s="200"/>
      <c r="F37" s="200"/>
      <c r="G37" s="24"/>
      <c r="H37" s="24"/>
      <c r="I37" s="113">
        <v>0</v>
      </c>
      <c r="J37" s="113"/>
      <c r="K37" s="159">
        <f t="shared" si="0"/>
        <v>0</v>
      </c>
    </row>
    <row r="38" spans="1:11" ht="18.75">
      <c r="A38" s="25"/>
      <c r="B38" s="200" t="s">
        <v>164</v>
      </c>
      <c r="C38" s="200"/>
      <c r="D38" s="200"/>
      <c r="E38" s="200"/>
      <c r="F38" s="200"/>
      <c r="G38" s="24">
        <f>SUM(G36:G37)</f>
        <v>17.068861247917937</v>
      </c>
      <c r="H38" s="24">
        <f>SUM(H36:H37)</f>
        <v>13.82</v>
      </c>
      <c r="I38" s="157">
        <f>SUM(I36:I37)</f>
        <v>728168.35</v>
      </c>
      <c r="J38" s="158"/>
      <c r="K38" s="158">
        <f>SUM(K36:K37)</f>
        <v>728168.35</v>
      </c>
    </row>
    <row r="39" spans="1:11" ht="15" customHeight="1">
      <c r="A39" s="23">
        <v>3</v>
      </c>
      <c r="B39" s="244" t="s">
        <v>244</v>
      </c>
      <c r="C39" s="202"/>
      <c r="D39" s="202"/>
      <c r="E39" s="202"/>
      <c r="F39" s="202"/>
      <c r="G39" s="203"/>
      <c r="H39" s="144"/>
      <c r="I39" s="99">
        <f>I14-I38</f>
        <v>-72758.87</v>
      </c>
      <c r="J39" s="99"/>
      <c r="K39" s="97">
        <f>K14-K38</f>
        <v>-72758.87</v>
      </c>
    </row>
    <row r="40" spans="2:6" ht="15.75" customHeight="1">
      <c r="B40" s="34"/>
      <c r="F40" s="34"/>
    </row>
    <row r="41" spans="2:10" ht="15.75">
      <c r="B41" s="245" t="s">
        <v>245</v>
      </c>
      <c r="C41" s="245"/>
      <c r="D41" s="245"/>
      <c r="E41" s="245"/>
      <c r="F41" s="245"/>
      <c r="G41" s="245"/>
      <c r="H41" s="245"/>
      <c r="I41" s="245"/>
      <c r="J41" s="245"/>
    </row>
    <row r="42" spans="2:4" ht="15.75">
      <c r="B42" s="34"/>
      <c r="C42" s="34"/>
      <c r="D42" s="34"/>
    </row>
    <row r="43" spans="2:4" ht="15.75">
      <c r="B43" s="160" t="s">
        <v>79</v>
      </c>
      <c r="C43" s="160"/>
      <c r="D43" s="160"/>
    </row>
    <row r="44" spans="2:9" ht="15.75">
      <c r="B44" s="34" t="s">
        <v>246</v>
      </c>
      <c r="C44" s="34"/>
      <c r="D44" s="34"/>
      <c r="E44" s="34"/>
      <c r="F44" s="34"/>
      <c r="G44" s="34"/>
      <c r="H44" s="34"/>
      <c r="I44" s="34"/>
    </row>
    <row r="45" spans="2:4" ht="15.75" customHeight="1">
      <c r="B45" s="169" t="s">
        <v>86</v>
      </c>
      <c r="C45" s="169"/>
      <c r="D45" s="169"/>
    </row>
    <row r="47" ht="15.75">
      <c r="B47" t="s">
        <v>247</v>
      </c>
    </row>
    <row r="64" ht="15.75">
      <c r="J64" s="85"/>
    </row>
    <row r="65" ht="15.75">
      <c r="J65" s="85"/>
    </row>
    <row r="66" ht="15.75">
      <c r="J66" s="85"/>
    </row>
    <row r="67" ht="15.75">
      <c r="J67" s="85"/>
    </row>
    <row r="68" ht="15.75">
      <c r="J68" s="85"/>
    </row>
    <row r="69" ht="15.75">
      <c r="J69" s="85"/>
    </row>
    <row r="70" ht="15.75">
      <c r="J70" s="85"/>
    </row>
    <row r="71" ht="15.75">
      <c r="J71" s="85"/>
    </row>
    <row r="72" ht="15.75">
      <c r="J72" s="85"/>
    </row>
    <row r="73" ht="15.75">
      <c r="J73" s="85"/>
    </row>
    <row r="74" ht="15.75">
      <c r="J74" s="85"/>
    </row>
    <row r="75" ht="15.75">
      <c r="J75" s="85"/>
    </row>
    <row r="76" ht="15.75">
      <c r="J76" s="85"/>
    </row>
  </sheetData>
  <mergeCells count="37">
    <mergeCell ref="B7:D7"/>
    <mergeCell ref="A1:K1"/>
    <mergeCell ref="A2:K2"/>
    <mergeCell ref="B8:F8"/>
    <mergeCell ref="I7:K7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45:D45"/>
    <mergeCell ref="B36:F36"/>
    <mergeCell ref="B39:G39"/>
    <mergeCell ref="B41:J41"/>
    <mergeCell ref="B37:F37"/>
    <mergeCell ref="B38:F38"/>
    <mergeCell ref="B34:D34"/>
    <mergeCell ref="B35:E35"/>
    <mergeCell ref="B30:D30"/>
    <mergeCell ref="B31:D31"/>
    <mergeCell ref="B32:D32"/>
    <mergeCell ref="B33:D33"/>
  </mergeCells>
  <printOptions/>
  <pageMargins left="0.7874015748031497" right="0" top="0" bottom="0" header="0.5118110236220472" footer="0.5118110236220472"/>
  <pageSetup fitToHeight="1" fitToWidth="1"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J1">
      <selection activeCell="A13" sqref="A13:H24"/>
    </sheetView>
  </sheetViews>
  <sheetFormatPr defaultColWidth="9.00390625" defaultRowHeight="15.75"/>
  <cols>
    <col min="1" max="1" width="11.875" style="0" customWidth="1"/>
    <col min="2" max="2" width="7.375" style="0" customWidth="1"/>
    <col min="3" max="3" width="12.75390625" style="0" customWidth="1"/>
    <col min="4" max="4" width="10.50390625" style="0" customWidth="1"/>
    <col min="5" max="5" width="12.75390625" style="0" customWidth="1"/>
    <col min="6" max="6" width="13.375" style="0" customWidth="1"/>
    <col min="7" max="7" width="10.375" style="0" customWidth="1"/>
    <col min="8" max="8" width="12.625" style="0" customWidth="1"/>
    <col min="9" max="9" width="11.625" style="0" customWidth="1"/>
    <col min="10" max="10" width="10.50390625" style="0" customWidth="1"/>
    <col min="11" max="11" width="9.875" style="0" customWidth="1"/>
    <col min="12" max="12" width="11.875" style="0" customWidth="1"/>
    <col min="13" max="15" width="13.00390625" style="0" customWidth="1"/>
    <col min="16" max="16" width="10.875" style="0" customWidth="1"/>
    <col min="18" max="18" width="13.50390625" style="0" customWidth="1"/>
    <col min="19" max="19" width="11.875" style="0" customWidth="1"/>
  </cols>
  <sheetData>
    <row r="1" spans="1:19" ht="104.25" customHeight="1">
      <c r="A1" s="252" t="s">
        <v>205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spans="1:19" ht="15.75" customHeight="1">
      <c r="A2" s="229" t="s">
        <v>169</v>
      </c>
      <c r="B2" s="243" t="s">
        <v>170</v>
      </c>
      <c r="C2" s="243" t="s">
        <v>192</v>
      </c>
      <c r="D2" s="243"/>
      <c r="E2" s="243"/>
      <c r="F2" s="243"/>
      <c r="G2" s="243"/>
      <c r="H2" s="243"/>
      <c r="I2" s="243"/>
      <c r="J2" s="253" t="s">
        <v>193</v>
      </c>
      <c r="K2" s="253"/>
      <c r="L2" s="253"/>
      <c r="M2" s="254" t="s">
        <v>194</v>
      </c>
      <c r="N2" s="243" t="s">
        <v>171</v>
      </c>
      <c r="O2" s="243"/>
      <c r="P2" s="243"/>
      <c r="Q2" s="243"/>
      <c r="R2" s="243"/>
      <c r="S2" s="167" t="s">
        <v>208</v>
      </c>
    </row>
    <row r="3" spans="1:19" ht="15.75">
      <c r="A3" s="243"/>
      <c r="B3" s="243"/>
      <c r="C3" s="216" t="s">
        <v>172</v>
      </c>
      <c r="D3" s="217"/>
      <c r="E3" s="218"/>
      <c r="F3" s="216" t="s">
        <v>173</v>
      </c>
      <c r="G3" s="217"/>
      <c r="H3" s="218"/>
      <c r="I3" s="229" t="s">
        <v>174</v>
      </c>
      <c r="J3" s="250" t="s">
        <v>195</v>
      </c>
      <c r="K3" s="248" t="s">
        <v>196</v>
      </c>
      <c r="L3" s="250" t="s">
        <v>197</v>
      </c>
      <c r="M3" s="255"/>
      <c r="N3" s="229" t="s">
        <v>198</v>
      </c>
      <c r="O3" s="243" t="s">
        <v>175</v>
      </c>
      <c r="P3" s="243" t="s">
        <v>176</v>
      </c>
      <c r="Q3" s="243" t="s">
        <v>177</v>
      </c>
      <c r="R3" s="243" t="s">
        <v>178</v>
      </c>
      <c r="S3" s="167"/>
    </row>
    <row r="4" spans="1:19" ht="47.25" customHeight="1">
      <c r="A4" s="243"/>
      <c r="B4" s="243"/>
      <c r="C4" s="11" t="s">
        <v>179</v>
      </c>
      <c r="D4" s="23" t="s">
        <v>177</v>
      </c>
      <c r="E4" s="23" t="s">
        <v>178</v>
      </c>
      <c r="F4" s="11" t="s">
        <v>179</v>
      </c>
      <c r="G4" s="23" t="s">
        <v>177</v>
      </c>
      <c r="H4" s="23" t="s">
        <v>178</v>
      </c>
      <c r="I4" s="229"/>
      <c r="J4" s="251"/>
      <c r="K4" s="249"/>
      <c r="L4" s="251"/>
      <c r="M4" s="256"/>
      <c r="N4" s="243"/>
      <c r="O4" s="243"/>
      <c r="P4" s="243"/>
      <c r="Q4" s="243"/>
      <c r="R4" s="243"/>
      <c r="S4" s="167"/>
    </row>
    <row r="5" spans="1:19" ht="31.5">
      <c r="A5" s="23">
        <v>1</v>
      </c>
      <c r="B5" s="23">
        <v>2</v>
      </c>
      <c r="C5" s="11">
        <v>3</v>
      </c>
      <c r="D5" s="23">
        <v>4</v>
      </c>
      <c r="E5" s="23" t="s">
        <v>199</v>
      </c>
      <c r="F5" s="11">
        <v>6</v>
      </c>
      <c r="G5" s="23">
        <v>7</v>
      </c>
      <c r="H5" s="23" t="s">
        <v>200</v>
      </c>
      <c r="I5" s="11" t="s">
        <v>201</v>
      </c>
      <c r="J5" s="23">
        <v>10</v>
      </c>
      <c r="K5" s="23">
        <v>11</v>
      </c>
      <c r="L5" s="11">
        <v>12</v>
      </c>
      <c r="M5" s="11" t="s">
        <v>202</v>
      </c>
      <c r="N5" s="23">
        <v>14</v>
      </c>
      <c r="O5" s="11">
        <v>15</v>
      </c>
      <c r="P5" s="23">
        <v>16</v>
      </c>
      <c r="Q5" s="23">
        <v>17</v>
      </c>
      <c r="R5" s="11" t="s">
        <v>203</v>
      </c>
      <c r="S5" s="127" t="s">
        <v>204</v>
      </c>
    </row>
    <row r="6" spans="1:19" ht="15.75">
      <c r="A6" s="94"/>
      <c r="B6" s="57" t="s">
        <v>180</v>
      </c>
      <c r="C6" s="94">
        <f>'2008'!D9</f>
        <v>533814.66</v>
      </c>
      <c r="D6" s="94">
        <f>'2008'!D13</f>
        <v>23764.33</v>
      </c>
      <c r="E6" s="94">
        <f>SUM(C6:D6)</f>
        <v>557578.99</v>
      </c>
      <c r="F6" s="94">
        <f>'2008'!D10</f>
        <v>513082.82</v>
      </c>
      <c r="G6" s="94">
        <f>'2008'!D14</f>
        <v>23302.88</v>
      </c>
      <c r="H6" s="94">
        <f>SUM(F6:G6)</f>
        <v>536385.7</v>
      </c>
      <c r="I6" s="59">
        <f>E6-H6</f>
        <v>21193.290000000037</v>
      </c>
      <c r="J6" s="94">
        <v>0</v>
      </c>
      <c r="K6" s="94">
        <v>0</v>
      </c>
      <c r="L6" s="94">
        <v>0</v>
      </c>
      <c r="M6" s="94">
        <f>H6+J6+K6+L6</f>
        <v>536385.7</v>
      </c>
      <c r="N6" s="94">
        <f>'2008'!D23</f>
        <v>58719.6126</v>
      </c>
      <c r="O6" s="94">
        <f>'2008'!D24</f>
        <v>373670.262</v>
      </c>
      <c r="P6" s="94">
        <f>'2008'!D25</f>
        <v>215290</v>
      </c>
      <c r="Q6" s="59">
        <v>0</v>
      </c>
      <c r="R6" s="94">
        <f>SUM(N6:Q6)</f>
        <v>647679.8746</v>
      </c>
      <c r="S6" s="94">
        <f>M6-R6</f>
        <v>-111294.17460000003</v>
      </c>
    </row>
    <row r="7" spans="1:19" ht="15.75">
      <c r="A7" s="94">
        <f>S6</f>
        <v>-111294.17460000003</v>
      </c>
      <c r="B7" s="57" t="s">
        <v>181</v>
      </c>
      <c r="C7" s="94">
        <v>836368.8</v>
      </c>
      <c r="D7" s="94">
        <v>30758.47</v>
      </c>
      <c r="E7" s="94">
        <f>SUM(C7:D7)</f>
        <v>867127.27</v>
      </c>
      <c r="F7" s="94">
        <v>759538.63</v>
      </c>
      <c r="G7" s="94">
        <v>29509.92</v>
      </c>
      <c r="H7" s="94">
        <f>SUM(F7:G7)</f>
        <v>789048.55</v>
      </c>
      <c r="I7" s="59">
        <f>E7-H7</f>
        <v>78078.71999999997</v>
      </c>
      <c r="J7" s="94">
        <v>0</v>
      </c>
      <c r="K7" s="94">
        <v>0</v>
      </c>
      <c r="L7" s="94">
        <v>0</v>
      </c>
      <c r="M7" s="94">
        <f>H7+J7+K7+L7</f>
        <v>789048.55</v>
      </c>
      <c r="N7" s="94">
        <f>'отчет 2009'!H31</f>
        <v>84024.86</v>
      </c>
      <c r="O7" s="94">
        <f>'отчет 2009'!H32-'отчет 2009'!H31</f>
        <v>669531.45</v>
      </c>
      <c r="P7" s="94">
        <f>'отчет 2009'!H33</f>
        <v>70600</v>
      </c>
      <c r="Q7" s="59">
        <v>0</v>
      </c>
      <c r="R7" s="94">
        <f>SUM(N7:Q7)</f>
        <v>824156.3099999999</v>
      </c>
      <c r="S7" s="94">
        <f>M7-R7</f>
        <v>-35107.75999999989</v>
      </c>
    </row>
    <row r="8" spans="1:19" ht="15.75">
      <c r="A8" s="94">
        <f>A7+S7</f>
        <v>-146401.93459999992</v>
      </c>
      <c r="B8" s="57" t="s">
        <v>182</v>
      </c>
      <c r="C8" s="94">
        <v>839485.85</v>
      </c>
      <c r="D8" s="94">
        <v>31961.64</v>
      </c>
      <c r="E8" s="94">
        <f>SUM(C8:D8)</f>
        <v>871447.49</v>
      </c>
      <c r="F8" s="94">
        <f>'отчет 2010'!H10</f>
        <v>773163.11</v>
      </c>
      <c r="G8" s="94">
        <f>'отчет 2010'!H11</f>
        <v>31323.98</v>
      </c>
      <c r="H8" s="94">
        <f>SUM(F8:G8)</f>
        <v>804487.09</v>
      </c>
      <c r="I8" s="59">
        <f>E8-H8</f>
        <v>66960.40000000002</v>
      </c>
      <c r="J8" s="94">
        <v>0</v>
      </c>
      <c r="K8" s="94">
        <v>0</v>
      </c>
      <c r="L8" s="94">
        <v>0</v>
      </c>
      <c r="M8" s="94">
        <f>H8+J8+K8+L8</f>
        <v>804487.09</v>
      </c>
      <c r="N8" s="94">
        <f>'отчет 2010'!J29</f>
        <v>84024.86</v>
      </c>
      <c r="O8" s="94">
        <f>'отчет 2010'!J34-'отчет 2010'!J29</f>
        <v>679616.9319999999</v>
      </c>
      <c r="P8" s="94">
        <f>'отчет 2010'!H35</f>
        <v>14500</v>
      </c>
      <c r="Q8" s="59">
        <v>0</v>
      </c>
      <c r="R8" s="94">
        <f>SUM(N8:Q8)</f>
        <v>778141.7919999999</v>
      </c>
      <c r="S8" s="94">
        <f>M8-R8</f>
        <v>26345.298000000068</v>
      </c>
    </row>
    <row r="9" spans="1:19" ht="15.75">
      <c r="A9" s="94">
        <f>A8+S8</f>
        <v>-120056.63659999985</v>
      </c>
      <c r="B9" s="57" t="s">
        <v>183</v>
      </c>
      <c r="C9" s="94">
        <v>964520.8</v>
      </c>
      <c r="D9" s="94">
        <v>37369.86</v>
      </c>
      <c r="E9" s="94">
        <f>SUM(C9:D9)</f>
        <v>1001890.66</v>
      </c>
      <c r="F9" s="94">
        <f>'отчет 2011'!H10</f>
        <v>993171.1</v>
      </c>
      <c r="G9" s="94">
        <f>'отчет 2011'!H11</f>
        <v>36527.19</v>
      </c>
      <c r="H9" s="94">
        <f>SUM(F9:G9)</f>
        <v>1029698.29</v>
      </c>
      <c r="I9" s="59">
        <f>E9-H9</f>
        <v>-27807.630000000005</v>
      </c>
      <c r="J9" s="94">
        <v>0</v>
      </c>
      <c r="K9" s="94">
        <v>0</v>
      </c>
      <c r="L9" s="94">
        <v>0</v>
      </c>
      <c r="M9" s="94">
        <f>H9+J9+K9+L9</f>
        <v>1029698.29</v>
      </c>
      <c r="N9" s="94">
        <f>'отчет 2011'!J29</f>
        <v>96695.28</v>
      </c>
      <c r="O9" s="94">
        <f>'отчет 2011'!J32-'отчет 2011'!J29</f>
        <v>776233.4480000002</v>
      </c>
      <c r="P9" s="94">
        <f>'отчет 2011'!H36</f>
        <v>0</v>
      </c>
      <c r="Q9" s="35">
        <f>'отчет 2011'!H38</f>
        <v>0</v>
      </c>
      <c r="R9" s="94">
        <f>SUM(N9:Q9)</f>
        <v>872928.7280000002</v>
      </c>
      <c r="S9" s="94">
        <f>M9-R9</f>
        <v>156769.5619999998</v>
      </c>
    </row>
    <row r="10" spans="1:19" ht="15.75">
      <c r="A10" s="94">
        <f>A9+S9</f>
        <v>36712.92539999995</v>
      </c>
      <c r="B10" s="57" t="s">
        <v>184</v>
      </c>
      <c r="C10" s="94">
        <v>654665.06</v>
      </c>
      <c r="D10" s="94">
        <v>26018.59</v>
      </c>
      <c r="E10" s="94">
        <f>SUM(C10:D10)</f>
        <v>680683.65</v>
      </c>
      <c r="F10" s="94">
        <f>'отчет12(01-08) '!I10</f>
        <v>630552.75</v>
      </c>
      <c r="G10" s="94">
        <f>'отчет12(01-08) '!I11</f>
        <v>24856.73</v>
      </c>
      <c r="H10" s="94">
        <f>SUM(F10:G10)</f>
        <v>655409.48</v>
      </c>
      <c r="I10" s="59">
        <f>E10-H10</f>
        <v>25274.170000000042</v>
      </c>
      <c r="J10" s="94">
        <v>0</v>
      </c>
      <c r="K10" s="94">
        <v>0</v>
      </c>
      <c r="L10" s="94">
        <v>0</v>
      </c>
      <c r="M10" s="94">
        <f>H10+J10+K10+L10</f>
        <v>655409.48</v>
      </c>
      <c r="N10" s="94">
        <f>'отчет12(01-08) '!K29</f>
        <v>65536.85</v>
      </c>
      <c r="O10" s="94">
        <f>'отчет12(01-08) '!K31-'отчет12(01-08) '!K29</f>
        <v>528146.5</v>
      </c>
      <c r="P10" s="94">
        <f>'отчет12(01-08) '!I35</f>
        <v>134485</v>
      </c>
      <c r="Q10" s="35">
        <f>'отчет12(01-08) '!I37</f>
        <v>0</v>
      </c>
      <c r="R10" s="35">
        <f>SUM(N10:Q10)</f>
        <v>728168.35</v>
      </c>
      <c r="S10" s="35">
        <f>M10-R10</f>
        <v>-72758.87</v>
      </c>
    </row>
    <row r="11" spans="1:19" ht="15.75">
      <c r="A11" s="35"/>
      <c r="B11" s="128" t="s">
        <v>206</v>
      </c>
      <c r="C11" s="129">
        <f aca="true" t="shared" si="0" ref="C11:S11">SUM(C6:C10)</f>
        <v>3828855.1700000004</v>
      </c>
      <c r="D11" s="129">
        <f t="shared" si="0"/>
        <v>149872.89</v>
      </c>
      <c r="E11" s="129">
        <f t="shared" si="0"/>
        <v>3978728.06</v>
      </c>
      <c r="F11" s="129">
        <f t="shared" si="0"/>
        <v>3669508.41</v>
      </c>
      <c r="G11" s="129">
        <f t="shared" si="0"/>
        <v>145520.7</v>
      </c>
      <c r="H11" s="129">
        <f t="shared" si="0"/>
        <v>3815029.11</v>
      </c>
      <c r="I11" s="129">
        <f t="shared" si="0"/>
        <v>163698.95000000007</v>
      </c>
      <c r="J11" s="129">
        <f t="shared" si="0"/>
        <v>0</v>
      </c>
      <c r="K11" s="129">
        <f t="shared" si="0"/>
        <v>0</v>
      </c>
      <c r="L11" s="129">
        <f t="shared" si="0"/>
        <v>0</v>
      </c>
      <c r="M11" s="129">
        <f t="shared" si="0"/>
        <v>3815029.11</v>
      </c>
      <c r="N11" s="129">
        <f t="shared" si="0"/>
        <v>389001.46259999997</v>
      </c>
      <c r="O11" s="129">
        <f t="shared" si="0"/>
        <v>3027198.592</v>
      </c>
      <c r="P11" s="129">
        <f t="shared" si="0"/>
        <v>434875</v>
      </c>
      <c r="Q11" s="129">
        <f t="shared" si="0"/>
        <v>0</v>
      </c>
      <c r="R11" s="129">
        <f t="shared" si="0"/>
        <v>3851075.0546</v>
      </c>
      <c r="S11" s="129">
        <f t="shared" si="0"/>
        <v>-36045.944600000046</v>
      </c>
    </row>
    <row r="13" spans="1:8" ht="18.75">
      <c r="A13" s="247" t="s">
        <v>248</v>
      </c>
      <c r="B13" s="247"/>
      <c r="C13" s="247"/>
      <c r="D13" s="247"/>
      <c r="E13" s="247" t="s">
        <v>249</v>
      </c>
      <c r="F13" s="247"/>
      <c r="G13" s="247"/>
      <c r="H13" s="247"/>
    </row>
    <row r="14" spans="1:8" ht="18.75">
      <c r="A14" s="161"/>
      <c r="B14" s="161"/>
      <c r="C14" s="161"/>
      <c r="D14" s="161"/>
      <c r="E14" s="161"/>
      <c r="F14" s="161"/>
      <c r="G14" s="161"/>
      <c r="H14" s="161"/>
    </row>
    <row r="15" spans="1:8" ht="15.75">
      <c r="A15" s="162"/>
      <c r="B15" s="162"/>
      <c r="C15" s="162"/>
      <c r="D15" s="162"/>
      <c r="E15" s="162"/>
      <c r="F15" s="162"/>
      <c r="G15" s="162"/>
      <c r="H15" s="162"/>
    </row>
    <row r="16" spans="1:8" ht="18.75">
      <c r="A16" s="162"/>
      <c r="B16" s="163"/>
      <c r="C16" s="163"/>
      <c r="D16" s="162"/>
      <c r="E16" s="162"/>
      <c r="F16" s="162"/>
      <c r="G16" s="162"/>
      <c r="H16" s="162"/>
    </row>
    <row r="17" spans="1:8" ht="18.75">
      <c r="A17" s="164" t="s">
        <v>250</v>
      </c>
      <c r="B17" s="161"/>
      <c r="C17" s="161"/>
      <c r="D17" s="162"/>
      <c r="E17" s="162"/>
      <c r="F17" s="162"/>
      <c r="G17" s="162"/>
      <c r="H17" s="162"/>
    </row>
    <row r="18" spans="1:8" ht="18.75">
      <c r="A18" s="164" t="s">
        <v>251</v>
      </c>
      <c r="B18" s="161"/>
      <c r="C18" s="161"/>
      <c r="D18" s="162"/>
      <c r="E18" s="162"/>
      <c r="F18" s="162"/>
      <c r="G18" s="162"/>
      <c r="H18" s="162"/>
    </row>
    <row r="19" spans="1:8" ht="18.75">
      <c r="A19" s="165" t="s">
        <v>252</v>
      </c>
      <c r="B19" s="162"/>
      <c r="C19" s="162"/>
      <c r="D19" s="162"/>
      <c r="E19" s="247" t="s">
        <v>253</v>
      </c>
      <c r="F19" s="247"/>
      <c r="G19" s="247"/>
      <c r="H19" s="162"/>
    </row>
    <row r="20" spans="1:8" ht="15.75">
      <c r="A20" s="162"/>
      <c r="B20" s="162"/>
      <c r="C20" s="162"/>
      <c r="D20" s="162"/>
      <c r="E20" s="162"/>
      <c r="F20" s="162"/>
      <c r="G20" s="162"/>
      <c r="H20" s="162"/>
    </row>
    <row r="21" spans="1:8" ht="15.75">
      <c r="A21" s="162"/>
      <c r="B21" s="162"/>
      <c r="C21" s="162"/>
      <c r="D21" s="162"/>
      <c r="E21" s="162"/>
      <c r="F21" s="162"/>
      <c r="G21" s="162"/>
      <c r="H21" s="162"/>
    </row>
    <row r="22" spans="1:8" ht="15.75">
      <c r="A22" s="162" t="s">
        <v>247</v>
      </c>
      <c r="B22" s="162"/>
      <c r="C22" s="162"/>
      <c r="D22" s="162"/>
      <c r="E22" s="162"/>
      <c r="F22" s="162"/>
      <c r="G22" s="162"/>
      <c r="H22" s="162"/>
    </row>
    <row r="23" spans="1:8" ht="15.75">
      <c r="A23" s="162"/>
      <c r="B23" s="162"/>
      <c r="C23" s="162"/>
      <c r="D23" s="162"/>
      <c r="E23" s="162"/>
      <c r="F23" s="162"/>
      <c r="G23" s="162"/>
      <c r="H23" s="162"/>
    </row>
    <row r="24" spans="1:8" ht="15.75">
      <c r="A24" s="162"/>
      <c r="B24" s="162"/>
      <c r="C24" s="162"/>
      <c r="D24" s="162"/>
      <c r="E24" s="162"/>
      <c r="F24" s="162"/>
      <c r="G24" s="162"/>
      <c r="H24" s="162"/>
    </row>
  </sheetData>
  <sheetProtection/>
  <mergeCells count="22">
    <mergeCell ref="A1:S1"/>
    <mergeCell ref="J2:L2"/>
    <mergeCell ref="M2:M4"/>
    <mergeCell ref="N2:R2"/>
    <mergeCell ref="S2:S4"/>
    <mergeCell ref="O3:O4"/>
    <mergeCell ref="P3:P4"/>
    <mergeCell ref="Q3:Q4"/>
    <mergeCell ref="R3:R4"/>
    <mergeCell ref="A2:A4"/>
    <mergeCell ref="L3:L4"/>
    <mergeCell ref="N3:N4"/>
    <mergeCell ref="B2:B4"/>
    <mergeCell ref="C2:I2"/>
    <mergeCell ref="C3:E3"/>
    <mergeCell ref="F3:H3"/>
    <mergeCell ref="I3:I4"/>
    <mergeCell ref="J3:J4"/>
    <mergeCell ref="A13:D13"/>
    <mergeCell ref="E13:H13"/>
    <mergeCell ref="E19:G19"/>
    <mergeCell ref="K3:K4"/>
  </mergeCells>
  <printOptions/>
  <pageMargins left="0" right="0" top="0" bottom="0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2013-02-26T09:26:28Z</cp:lastPrinted>
  <dcterms:created xsi:type="dcterms:W3CDTF">2009-08-26T03:25:10Z</dcterms:created>
  <dcterms:modified xsi:type="dcterms:W3CDTF">2013-03-25T08:21:46Z</dcterms:modified>
  <cp:category/>
  <cp:version/>
  <cp:contentType/>
  <cp:contentStatus/>
</cp:coreProperties>
</file>