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46" firstSheet="4" activeTab="4"/>
  </bookViews>
  <sheets>
    <sheet name="отчет 2011" sheetId="1" state="hidden" r:id="rId1"/>
    <sheet name="смета 2012" sheetId="2" state="hidden" r:id="rId2"/>
    <sheet name="11.12" sheetId="3" state="hidden" r:id="rId3"/>
    <sheet name="план2013" sheetId="4" state="hidden" r:id="rId4"/>
    <sheet name="отчте12 (09-12)" sheetId="5" r:id="rId5"/>
    <sheet name="накопит. отчет" sheetId="6" state="hidden" r:id="rId6"/>
  </sheets>
  <externalReferences>
    <externalReference r:id="rId9"/>
  </externalReferences>
  <definedNames>
    <definedName name="_xlnm.Print_Area" localSheetId="1">'смета 2012'!$A$1:$H$34</definedName>
  </definedNames>
  <calcPr fullCalcOnLoad="1"/>
</workbook>
</file>

<file path=xl/sharedStrings.xml><?xml version="1.0" encoding="utf-8"?>
<sst xmlns="http://schemas.openxmlformats.org/spreadsheetml/2006/main" count="456" uniqueCount="164">
  <si>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</si>
  <si>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</si>
  <si>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</si>
  <si>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</si>
  <si>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</si>
  <si>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</si>
  <si>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</si>
  <si>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</si>
  <si>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</si>
  <si>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</si>
  <si>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</si>
  <si>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</si>
  <si>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</si>
  <si>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</si>
  <si>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</si>
  <si>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</si>
  <si>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</si>
  <si>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</si>
  <si>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</si>
  <si>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</si>
  <si>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</si>
  <si>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</si>
  <si>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</si>
  <si>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</si>
  <si>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</si>
  <si>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</si>
  <si>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</si>
  <si>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</si>
  <si>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</si>
  <si>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</si>
  <si>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</si>
  <si>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</si>
  <si>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</si>
  <si>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</si>
  <si>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</si>
  <si>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</si>
  <si>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</si>
  <si>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</si>
  <si>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</si>
  <si>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>ООО "ОЖКС № 6"</t>
  </si>
  <si>
    <t>пр. Ленина, 129</t>
  </si>
  <si>
    <t>Претензий по управлению нет (да)</t>
  </si>
  <si>
    <t>1.</t>
  </si>
  <si>
    <t>2.</t>
  </si>
  <si>
    <t>кв.м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</si>
  <si>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</si>
  <si>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</si>
  <si>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</si>
  <si>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</si>
  <si>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</si>
  <si>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</si>
  <si>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</si>
  <si>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</si>
  <si>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</si>
  <si>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</si>
  <si>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</si>
  <si>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</si>
  <si>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</si>
  <si>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</si>
  <si>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</si>
  <si>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</si>
  <si>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</si>
  <si>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</si>
  <si>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</si>
  <si>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</si>
  <si>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</si>
  <si>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</si>
  <si>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</si>
  <si>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</si>
  <si>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</si>
  <si>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</si>
  <si>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</si>
  <si>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</si>
  <si>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</si>
  <si>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</si>
  <si>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</si>
  <si>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</si>
  <si>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</si>
  <si>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</si>
  <si>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</si>
  <si>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</si>
  <si>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</si>
  <si>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</si>
  <si>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</si>
  <si>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</si>
  <si>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</si>
  <si>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</si>
  <si>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</si>
  <si>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</si>
  <si>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</si>
  <si>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</si>
  <si>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</si>
  <si>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</si>
  <si>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</si>
  <si>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</si>
  <si>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</si>
  <si>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</si>
  <si>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</si>
  <si>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</si>
  <si>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</si>
  <si>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</si>
  <si>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</si>
  <si>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</si>
  <si>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</si>
  <si>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</si>
  <si>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Сбор, вывоз  бытового мусора, содержание  мусоропроводов </t>
  </si>
  <si>
    <t>результат
 за год
(+эконом., 
-перерасх.)</t>
  </si>
  <si>
    <t xml:space="preserve">                    Представитель собственников  - старший по дому 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</si>
  <si>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мусоропроводов </t>
    </r>
  </si>
  <si>
    <t xml:space="preserve">Финансовый результат за 2011г. (+ экономия,- перерасход)                                                      </t>
  </si>
  <si>
    <t>Принято: Старший по дому                                                 _________________________</t>
  </si>
  <si>
    <t>ОТЧЕТ
за  2011 г. о выполненнии условий  договора управления МКД
 №80/6 от 28.03.2009 г., заключенного между ООО "ОЖКС №6" и собственниками многоквартирного дома
по адресу:  пр. Ленина, 129</t>
  </si>
  <si>
    <t>Смета 
доходов и расходов  на  2012 г.
согласно договора управления МКД 
№80/6 от 28.03.2008 г., заключенного между ООО "ОЖКС №6" 
и собственниками многоквартирного дома
по адресу:  пр. Ленина, 129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</si>
  <si>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</si>
  <si>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</si>
  <si>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</si>
  <si>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Расчет стоимости договора и тарифа 1 м2 на 2012г.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</si>
  <si>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</si>
  <si>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</si>
  <si>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</si>
  <si>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</si>
  <si>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по плану работ</t>
  </si>
  <si>
    <t xml:space="preserve">         Приложение №7 к Договору                                                                   на оказание услуг и  выполнение работ                                                      по содержанию, текущему и капитальному ремонту                                  общего имущества МКД № ___ от "____"___________2012г.</t>
  </si>
  <si>
    <t>1.1.</t>
  </si>
  <si>
    <t>1.2.</t>
  </si>
  <si>
    <t>1.3.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</si>
  <si>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</si>
  <si>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</si>
  <si>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Тариф с 1 сентября 2012 г. - 15,36 руб., капитальный ремонт - 0,80 руб.</t>
  </si>
  <si>
    <t>Тариф 
на 1 кв.м. сентябрь-декабрь 2012г.
руб.</t>
  </si>
  <si>
    <t>Стоимость работ
сентябрь-декабрь 2012г.             руб.</t>
  </si>
  <si>
    <t>5=гр.4*Sдома*4мес.</t>
  </si>
  <si>
    <t>Сбор, вывоз  бытового мусора, содержание  контейнерных площадок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</si>
  <si>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</si>
  <si>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</si>
  <si>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</si>
  <si>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</si>
  <si>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</si>
  <si>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</si>
  <si>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</si>
  <si>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</si>
  <si>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</si>
  <si>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</si>
  <si>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</si>
  <si>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</si>
  <si>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32/6 от 30.08.2012 г., 
заключенного между ООО "ОЖКС № 6"   
и собственниками многоквартирного дома
по адресу:  пр. Ленина, 129</t>
  </si>
  <si>
    <t xml:space="preserve">                    Представитель собственников  - старший по дому 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01.09.12г по 31.12.12г.</t>
  </si>
  <si>
    <t>Тариф 01.09.12г-31.12.12г.</t>
  </si>
  <si>
    <t>Сумма 
с 01.09.12г.-31.12.12г., руб.</t>
  </si>
  <si>
    <t>кол-во мес по нов. дог-ру</t>
  </si>
  <si>
    <t xml:space="preserve"> - прочие доходы </t>
  </si>
  <si>
    <t>Сбор, вывоз  бытового мусора, содержание контейнерных площадок</t>
  </si>
  <si>
    <t xml:space="preserve">Финансовый результат с 01.09.12 - 31.12.12г. (+ экономия,- перерасход)                                                      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</si>
  <si>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</si>
  <si>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</si>
  <si>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</si>
  <si>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</si>
  <si>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ОТЧЕТ
с 01.09.12г по 31.12.12 г о выполненнии условий  договора на оказание услуг МКД 
 № 32/6 от 30.08.2012 г., заключенного между ООО "ОЖКС №6" и собственниками многоквартирного дома
по адресу:  пр. Ленина, 129</t>
  </si>
  <si>
    <t>с 01.09.12г.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</si>
  <si>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</si>
  <si>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</si>
  <si>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</si>
  <si>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</si>
  <si>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оказания услуг МКД 
 № 32/6 от 30.08.2012 г., заключенного между ООО "ОЖКС №6" и собственниками многоквартирного дома
по адресу:  пр. Ленина, 129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</si>
</sst>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3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0" fontId="2" fillId="0" borderId="2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0" fontId="2" fillId="0" borderId="14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625" style="0" customWidth="1"/>
    <col min="6" max="6" width="18.00390625" style="0" hidden="1" customWidth="1"/>
    <col min="7" max="7" width="8.75390625" style="0" hidden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57" t="s">
        <v>111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54" customHeight="1">
      <c r="A2" s="158" t="s">
        <v>107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9" ht="18.75">
      <c r="A3" s="1" t="s">
        <v>36</v>
      </c>
      <c r="B3" s="1" t="s">
        <v>40</v>
      </c>
      <c r="C3" s="2"/>
      <c r="D3" s="2" t="s">
        <v>0</v>
      </c>
      <c r="E3" s="4">
        <v>5557.2</v>
      </c>
      <c r="F3" s="2"/>
      <c r="I3" s="52">
        <v>0</v>
      </c>
    </row>
    <row r="4" spans="2:9" ht="15.75">
      <c r="B4" s="3" t="s">
        <v>1</v>
      </c>
      <c r="C4" s="82">
        <v>9</v>
      </c>
      <c r="D4" s="2" t="s">
        <v>2</v>
      </c>
      <c r="E4" s="4">
        <v>108</v>
      </c>
      <c r="F4" s="2"/>
      <c r="I4" t="s">
        <v>44</v>
      </c>
    </row>
    <row r="5" spans="2:9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I5" s="2" t="s">
        <v>51</v>
      </c>
    </row>
    <row r="6" spans="2:9" ht="15.75">
      <c r="B6" s="3"/>
      <c r="C6" s="4"/>
      <c r="D6" s="2" t="s">
        <v>5</v>
      </c>
      <c r="E6" s="2" t="s">
        <v>15</v>
      </c>
      <c r="F6" s="2"/>
      <c r="G6" s="2"/>
      <c r="I6" t="s">
        <v>52</v>
      </c>
    </row>
    <row r="7" spans="1:10" ht="39" customHeight="1">
      <c r="A7" s="17" t="s">
        <v>31</v>
      </c>
      <c r="B7" s="159" t="s">
        <v>53</v>
      </c>
      <c r="C7" s="160"/>
      <c r="D7" s="161"/>
      <c r="E7" s="10" t="s">
        <v>6</v>
      </c>
      <c r="F7" s="10" t="s">
        <v>7</v>
      </c>
      <c r="G7" s="25" t="s">
        <v>20</v>
      </c>
      <c r="H7" s="162" t="s">
        <v>54</v>
      </c>
      <c r="I7" s="163"/>
      <c r="J7" s="164"/>
    </row>
    <row r="8" spans="1:10" ht="15.75">
      <c r="A8" s="18">
        <v>1</v>
      </c>
      <c r="B8" s="165"/>
      <c r="C8" s="166"/>
      <c r="D8" s="166"/>
      <c r="E8" s="166"/>
      <c r="F8" s="167"/>
      <c r="G8" s="54"/>
      <c r="H8" s="55" t="s">
        <v>55</v>
      </c>
      <c r="I8" s="56" t="s">
        <v>56</v>
      </c>
      <c r="J8" s="56" t="s">
        <v>57</v>
      </c>
    </row>
    <row r="9" spans="1:10" ht="15.75">
      <c r="A9" s="18"/>
      <c r="B9" s="165" t="s">
        <v>58</v>
      </c>
      <c r="C9" s="166"/>
      <c r="D9" s="166"/>
      <c r="E9" s="166"/>
      <c r="F9" s="167"/>
      <c r="G9" s="43"/>
      <c r="H9" s="43"/>
      <c r="I9" s="37"/>
      <c r="J9" s="56"/>
    </row>
    <row r="10" spans="1:10" ht="15.75">
      <c r="A10" s="57"/>
      <c r="B10" s="168" t="s">
        <v>59</v>
      </c>
      <c r="C10" s="168"/>
      <c r="D10" s="168"/>
      <c r="E10" s="168"/>
      <c r="F10" s="168"/>
      <c r="G10" s="13"/>
      <c r="H10" s="58">
        <v>993171.1</v>
      </c>
      <c r="I10" s="40"/>
      <c r="J10" s="59">
        <f>H10+I10</f>
        <v>993171.1</v>
      </c>
    </row>
    <row r="11" spans="1:10" ht="15.75">
      <c r="A11" s="57"/>
      <c r="B11" s="168" t="s">
        <v>60</v>
      </c>
      <c r="C11" s="168"/>
      <c r="D11" s="168"/>
      <c r="E11" s="168"/>
      <c r="F11" s="168"/>
      <c r="G11" s="13"/>
      <c r="H11" s="14">
        <v>36527.19</v>
      </c>
      <c r="I11" s="40"/>
      <c r="J11" s="59">
        <f>H11+I11</f>
        <v>36527.19</v>
      </c>
    </row>
    <row r="12" spans="1:10" ht="15.75">
      <c r="A12" s="18"/>
      <c r="B12" s="168" t="s">
        <v>61</v>
      </c>
      <c r="C12" s="168"/>
      <c r="D12" s="168"/>
      <c r="E12" s="168"/>
      <c r="F12" s="168"/>
      <c r="G12" s="13"/>
      <c r="H12" s="58"/>
      <c r="I12" s="40">
        <v>0</v>
      </c>
      <c r="J12" s="59">
        <f>H12+I12</f>
        <v>0</v>
      </c>
    </row>
    <row r="13" spans="1:10" ht="15.75">
      <c r="A13" s="18"/>
      <c r="B13" s="168" t="s">
        <v>62</v>
      </c>
      <c r="C13" s="168"/>
      <c r="D13" s="168"/>
      <c r="E13" s="168"/>
      <c r="F13" s="168"/>
      <c r="G13" s="13"/>
      <c r="H13" s="58">
        <v>0</v>
      </c>
      <c r="I13" s="60">
        <v>0</v>
      </c>
      <c r="J13" s="59">
        <f>H13+I13</f>
        <v>0</v>
      </c>
    </row>
    <row r="14" spans="1:10" ht="15.75">
      <c r="A14" s="18"/>
      <c r="B14" s="155" t="s">
        <v>63</v>
      </c>
      <c r="C14" s="155"/>
      <c r="D14" s="155"/>
      <c r="E14" s="155"/>
      <c r="F14" s="155"/>
      <c r="G14" s="13"/>
      <c r="H14" s="61">
        <f>SUM(H10:H13)</f>
        <v>1029698.29</v>
      </c>
      <c r="I14" s="61">
        <f>SUM(I10:I13)</f>
        <v>0</v>
      </c>
      <c r="J14" s="61">
        <f>SUM(J10:J13)</f>
        <v>1029698.29</v>
      </c>
    </row>
    <row r="15" spans="1:10" ht="18.75">
      <c r="A15" s="18">
        <v>2</v>
      </c>
      <c r="B15" s="156" t="s">
        <v>32</v>
      </c>
      <c r="C15" s="156"/>
      <c r="D15" s="156"/>
      <c r="E15" s="156"/>
      <c r="F15" s="156"/>
      <c r="G15" s="13"/>
      <c r="H15" s="58"/>
      <c r="I15" s="40"/>
      <c r="J15" s="27"/>
    </row>
    <row r="16" spans="1:10" ht="15.75">
      <c r="A16" s="18" t="s">
        <v>64</v>
      </c>
      <c r="B16" s="15" t="s">
        <v>33</v>
      </c>
      <c r="C16" s="15"/>
      <c r="D16" s="15"/>
      <c r="E16" s="15"/>
      <c r="F16" s="5"/>
      <c r="G16" s="55"/>
      <c r="H16" s="55"/>
      <c r="I16" s="53"/>
      <c r="J16" s="56"/>
    </row>
    <row r="17" spans="1:10" ht="15.75" customHeight="1">
      <c r="A17" s="21"/>
      <c r="B17" s="170" t="s">
        <v>108</v>
      </c>
      <c r="C17" s="170"/>
      <c r="D17" s="170"/>
      <c r="E17" s="63" t="s">
        <v>28</v>
      </c>
      <c r="F17" s="45" t="s">
        <v>22</v>
      </c>
      <c r="G17" s="46">
        <v>1.22</v>
      </c>
      <c r="H17" s="64">
        <f>ROUND(G17*$E$3*12,2)</f>
        <v>81357.41</v>
      </c>
      <c r="I17" s="65">
        <f>$I$12*0.08</f>
        <v>0</v>
      </c>
      <c r="J17" s="66">
        <f>SUM(H17:I17)</f>
        <v>81357.41</v>
      </c>
    </row>
    <row r="18" spans="1:10" ht="36" customHeight="1">
      <c r="A18" s="18"/>
      <c r="B18" s="171" t="s">
        <v>16</v>
      </c>
      <c r="C18" s="171"/>
      <c r="D18" s="171"/>
      <c r="E18" s="63" t="s">
        <v>28</v>
      </c>
      <c r="F18" s="45" t="s">
        <v>17</v>
      </c>
      <c r="G18" s="46">
        <v>0.28</v>
      </c>
      <c r="H18" s="64">
        <f>ROUND(G18*$E$3*12,2)</f>
        <v>18672.19</v>
      </c>
      <c r="I18" s="65">
        <f>$I$12*0.02</f>
        <v>0</v>
      </c>
      <c r="J18" s="66">
        <f>SUM(H18:I18)</f>
        <v>18672.19</v>
      </c>
    </row>
    <row r="19" spans="1:10" ht="20.25" customHeight="1">
      <c r="A19" s="18"/>
      <c r="B19" s="172" t="s">
        <v>21</v>
      </c>
      <c r="C19" s="172"/>
      <c r="D19" s="172"/>
      <c r="E19" s="67" t="s">
        <v>65</v>
      </c>
      <c r="F19" s="48" t="s">
        <v>18</v>
      </c>
      <c r="G19" s="46">
        <v>0.99</v>
      </c>
      <c r="H19" s="64">
        <f>J19-I19</f>
        <v>71240.56</v>
      </c>
      <c r="I19" s="65">
        <f>$I$12*0.07</f>
        <v>0</v>
      </c>
      <c r="J19" s="68">
        <v>71240.56</v>
      </c>
    </row>
    <row r="20" spans="1:10" ht="20.25" customHeight="1">
      <c r="A20" s="21"/>
      <c r="B20" s="170" t="s">
        <v>27</v>
      </c>
      <c r="C20" s="170"/>
      <c r="D20" s="170"/>
      <c r="E20" s="69" t="s">
        <v>8</v>
      </c>
      <c r="F20" s="49" t="s">
        <v>9</v>
      </c>
      <c r="G20" s="46">
        <v>0.51</v>
      </c>
      <c r="H20" s="64">
        <f>ROUND(G20*$E$3*12,2)</f>
        <v>34010.06</v>
      </c>
      <c r="I20" s="65">
        <f>$I$12*0.04</f>
        <v>0</v>
      </c>
      <c r="J20" s="66">
        <f>SUM(H20:I20)</f>
        <v>34010.06</v>
      </c>
    </row>
    <row r="21" spans="1:10" ht="44.25" customHeight="1">
      <c r="A21" s="18"/>
      <c r="B21" s="172" t="s">
        <v>25</v>
      </c>
      <c r="C21" s="172"/>
      <c r="D21" s="172"/>
      <c r="E21" s="67" t="s">
        <v>66</v>
      </c>
      <c r="F21" s="48" t="s">
        <v>23</v>
      </c>
      <c r="G21" s="46">
        <v>0.12</v>
      </c>
      <c r="H21" s="64">
        <f>J21-I21</f>
        <v>2859.54</v>
      </c>
      <c r="I21" s="65">
        <f>$I$12*0.01</f>
        <v>0</v>
      </c>
      <c r="J21" s="68">
        <v>2859.54</v>
      </c>
    </row>
    <row r="22" spans="1:10" ht="20.25" customHeight="1">
      <c r="A22" s="21"/>
      <c r="B22" s="172" t="s">
        <v>10</v>
      </c>
      <c r="C22" s="172"/>
      <c r="D22" s="172"/>
      <c r="E22" s="67" t="s">
        <v>8</v>
      </c>
      <c r="F22" s="48" t="s">
        <v>11</v>
      </c>
      <c r="G22" s="46">
        <v>2.22</v>
      </c>
      <c r="H22" s="64">
        <f>J22-I22</f>
        <v>148043.80800000002</v>
      </c>
      <c r="I22" s="65">
        <f>$I$12*0.15</f>
        <v>0</v>
      </c>
      <c r="J22" s="68">
        <f>G22*E3*12</f>
        <v>148043.80800000002</v>
      </c>
    </row>
    <row r="23" spans="1:10" ht="31.5" customHeight="1">
      <c r="A23" s="21"/>
      <c r="B23" s="172" t="s">
        <v>24</v>
      </c>
      <c r="C23" s="173"/>
      <c r="D23" s="173"/>
      <c r="E23" s="70" t="s">
        <v>12</v>
      </c>
      <c r="F23" s="42" t="s">
        <v>13</v>
      </c>
      <c r="G23" s="46">
        <v>0.05</v>
      </c>
      <c r="H23" s="64">
        <f>J23-I23</f>
        <v>6594.19</v>
      </c>
      <c r="I23" s="65">
        <f>$I$12*0.003</f>
        <v>0</v>
      </c>
      <c r="J23" s="68">
        <v>6594.19</v>
      </c>
    </row>
    <row r="24" spans="1:10" ht="28.5" customHeight="1">
      <c r="A24" s="18"/>
      <c r="B24" s="172" t="s">
        <v>35</v>
      </c>
      <c r="C24" s="172"/>
      <c r="D24" s="172"/>
      <c r="E24" s="63" t="s">
        <v>29</v>
      </c>
      <c r="F24" s="32" t="s">
        <v>39</v>
      </c>
      <c r="G24" s="46">
        <v>2.15</v>
      </c>
      <c r="H24" s="64">
        <f aca="true" t="shared" si="0" ref="H24:H29">ROUND(G24*$E$3*12,2)</f>
        <v>143375.76</v>
      </c>
      <c r="I24" s="65">
        <f>$I$12*0.19</f>
        <v>0</v>
      </c>
      <c r="J24" s="66">
        <f aca="true" t="shared" si="1" ref="J24:J29">SUM(H24:I24)</f>
        <v>143375.76</v>
      </c>
    </row>
    <row r="25" spans="1:10" ht="26.25" customHeight="1">
      <c r="A25" s="18"/>
      <c r="B25" s="171" t="s">
        <v>14</v>
      </c>
      <c r="C25" s="171"/>
      <c r="D25" s="171"/>
      <c r="E25" s="63" t="s">
        <v>29</v>
      </c>
      <c r="F25" s="32" t="s">
        <v>39</v>
      </c>
      <c r="G25" s="46">
        <v>0.53</v>
      </c>
      <c r="H25" s="71">
        <f t="shared" si="0"/>
        <v>35343.79</v>
      </c>
      <c r="I25" s="65">
        <v>0</v>
      </c>
      <c r="J25" s="66">
        <f t="shared" si="1"/>
        <v>35343.79</v>
      </c>
    </row>
    <row r="26" spans="1:10" ht="30" customHeight="1">
      <c r="A26" s="18"/>
      <c r="B26" s="151" t="s">
        <v>30</v>
      </c>
      <c r="C26" s="149"/>
      <c r="D26" s="124"/>
      <c r="E26" s="63" t="s">
        <v>29</v>
      </c>
      <c r="F26" s="32" t="s">
        <v>39</v>
      </c>
      <c r="G26" s="34">
        <f>3.52-G27-G28</f>
        <v>2.94</v>
      </c>
      <c r="H26" s="71">
        <f t="shared" si="0"/>
        <v>196058.02</v>
      </c>
      <c r="I26" s="72">
        <f>$I$12*0.18</f>
        <v>0</v>
      </c>
      <c r="J26" s="66">
        <f t="shared" si="1"/>
        <v>196058.02</v>
      </c>
    </row>
    <row r="27" spans="1:10" ht="26.25" customHeight="1">
      <c r="A27" s="21"/>
      <c r="B27" s="172" t="s">
        <v>67</v>
      </c>
      <c r="C27" s="172"/>
      <c r="D27" s="172"/>
      <c r="E27" s="63" t="s">
        <v>29</v>
      </c>
      <c r="F27" s="32" t="s">
        <v>39</v>
      </c>
      <c r="G27" s="34">
        <v>0.29</v>
      </c>
      <c r="H27" s="71">
        <f t="shared" si="0"/>
        <v>19339.06</v>
      </c>
      <c r="I27" s="72">
        <f>$I$12*0.02</f>
        <v>0</v>
      </c>
      <c r="J27" s="66">
        <f t="shared" si="1"/>
        <v>19339.06</v>
      </c>
    </row>
    <row r="28" spans="1:10" ht="28.5" customHeight="1">
      <c r="A28" s="18"/>
      <c r="B28" s="172" t="s">
        <v>68</v>
      </c>
      <c r="C28" s="172"/>
      <c r="D28" s="172"/>
      <c r="E28" s="67" t="s">
        <v>8</v>
      </c>
      <c r="F28" s="32" t="s">
        <v>39</v>
      </c>
      <c r="G28" s="34">
        <v>0.29</v>
      </c>
      <c r="H28" s="71">
        <f t="shared" si="0"/>
        <v>19339.06</v>
      </c>
      <c r="I28" s="72">
        <f>$I$12*0.02</f>
        <v>0</v>
      </c>
      <c r="J28" s="66">
        <f t="shared" si="1"/>
        <v>19339.06</v>
      </c>
    </row>
    <row r="29" spans="1:10" ht="27" customHeight="1">
      <c r="A29" s="18"/>
      <c r="B29" s="173" t="s">
        <v>19</v>
      </c>
      <c r="C29" s="173"/>
      <c r="D29" s="173"/>
      <c r="E29" s="67" t="s">
        <v>29</v>
      </c>
      <c r="F29" s="32" t="s">
        <v>39</v>
      </c>
      <c r="G29" s="42">
        <v>1.45</v>
      </c>
      <c r="H29" s="64">
        <f t="shared" si="0"/>
        <v>96695.28</v>
      </c>
      <c r="I29" s="65">
        <f>$I$12*0.1</f>
        <v>0</v>
      </c>
      <c r="J29" s="66">
        <f t="shared" si="1"/>
        <v>96695.28</v>
      </c>
    </row>
    <row r="30" spans="1:10" ht="15.75">
      <c r="A30" s="18"/>
      <c r="B30" s="175"/>
      <c r="C30" s="149"/>
      <c r="D30" s="124"/>
      <c r="E30" s="67"/>
      <c r="F30" s="32"/>
      <c r="G30" s="42"/>
      <c r="H30" s="71"/>
      <c r="I30" s="60"/>
      <c r="J30" s="73"/>
    </row>
    <row r="31" spans="1:10" ht="15.75">
      <c r="A31" s="18"/>
      <c r="B31" s="175"/>
      <c r="C31" s="149"/>
      <c r="D31" s="124"/>
      <c r="E31" s="67"/>
      <c r="F31" s="32"/>
      <c r="G31" s="42"/>
      <c r="H31" s="71"/>
      <c r="I31" s="60"/>
      <c r="J31" s="73"/>
    </row>
    <row r="32" spans="1:10" ht="15.75">
      <c r="A32" s="18"/>
      <c r="B32" s="169" t="s">
        <v>26</v>
      </c>
      <c r="C32" s="169"/>
      <c r="D32" s="169"/>
      <c r="E32" s="12"/>
      <c r="F32" s="32"/>
      <c r="G32" s="16">
        <f>SUM(G17:G29)</f>
        <v>13.039999999999996</v>
      </c>
      <c r="H32" s="28">
        <f>SUM(H17:H31)</f>
        <v>872928.7280000002</v>
      </c>
      <c r="I32" s="74">
        <f>SUM(I17:I31)</f>
        <v>0</v>
      </c>
      <c r="J32" s="28">
        <f>SUM(J17:J31)</f>
        <v>872928.7280000002</v>
      </c>
    </row>
    <row r="33" spans="1:10" ht="15.75">
      <c r="A33" s="18"/>
      <c r="B33" s="183" t="s">
        <v>69</v>
      </c>
      <c r="C33" s="184"/>
      <c r="D33" s="185"/>
      <c r="E33" s="67" t="s">
        <v>8</v>
      </c>
      <c r="F33" s="32"/>
      <c r="G33" s="16"/>
      <c r="H33" s="28"/>
      <c r="I33" s="74"/>
      <c r="J33" s="28"/>
    </row>
    <row r="34" spans="1:10" ht="25.5">
      <c r="A34" s="18"/>
      <c r="B34" s="183" t="s">
        <v>70</v>
      </c>
      <c r="C34" s="184"/>
      <c r="D34" s="185"/>
      <c r="E34" s="63" t="s">
        <v>29</v>
      </c>
      <c r="F34" s="32"/>
      <c r="G34" s="16"/>
      <c r="H34" s="28"/>
      <c r="I34" s="74"/>
      <c r="J34" s="28"/>
    </row>
    <row r="35" spans="1:10" ht="15.75">
      <c r="A35" s="18"/>
      <c r="B35" s="180"/>
      <c r="C35" s="181"/>
      <c r="D35" s="181"/>
      <c r="E35" s="182"/>
      <c r="F35" s="32"/>
      <c r="G35" s="16"/>
      <c r="H35" s="28"/>
      <c r="I35" s="74"/>
      <c r="J35" s="28"/>
    </row>
    <row r="36" spans="1:10" ht="15" customHeight="1">
      <c r="A36" s="18" t="s">
        <v>71</v>
      </c>
      <c r="B36" s="177" t="s">
        <v>72</v>
      </c>
      <c r="C36" s="178"/>
      <c r="D36" s="178"/>
      <c r="E36" s="179"/>
      <c r="F36" s="32" t="s">
        <v>39</v>
      </c>
      <c r="G36" s="19">
        <f>H36/E3/12</f>
        <v>0</v>
      </c>
      <c r="H36" s="23">
        <v>0</v>
      </c>
      <c r="I36" s="75">
        <v>0</v>
      </c>
      <c r="J36" s="61">
        <f>SUM(H36:I36)</f>
        <v>0</v>
      </c>
    </row>
    <row r="37" spans="1:10" ht="14.25" customHeight="1">
      <c r="A37" s="20"/>
      <c r="B37" s="174" t="s">
        <v>34</v>
      </c>
      <c r="C37" s="174"/>
      <c r="D37" s="174"/>
      <c r="E37" s="174"/>
      <c r="F37" s="174"/>
      <c r="G37" s="5">
        <f>SUM(G32:G36)</f>
        <v>13.039999999999996</v>
      </c>
      <c r="H37" s="29">
        <f>SUM(H32:H36)</f>
        <v>872928.7280000002</v>
      </c>
      <c r="I37" s="76">
        <f>SUM(I32:I36)</f>
        <v>0</v>
      </c>
      <c r="J37" s="29">
        <f>SUM(J32:J36)</f>
        <v>872928.7280000002</v>
      </c>
    </row>
    <row r="38" spans="1:10" ht="15.75">
      <c r="A38" s="18" t="s">
        <v>73</v>
      </c>
      <c r="B38" s="176" t="s">
        <v>74</v>
      </c>
      <c r="C38" s="176"/>
      <c r="D38" s="176"/>
      <c r="E38" s="176"/>
      <c r="F38" s="176"/>
      <c r="G38" s="77"/>
      <c r="H38" s="78">
        <v>0</v>
      </c>
      <c r="I38" s="78">
        <v>0</v>
      </c>
      <c r="J38" s="79">
        <f>SUM(H38:I38)</f>
        <v>0</v>
      </c>
    </row>
    <row r="39" spans="1:10" ht="15" customHeight="1">
      <c r="A39" s="20"/>
      <c r="B39" s="174" t="s">
        <v>75</v>
      </c>
      <c r="C39" s="174"/>
      <c r="D39" s="174"/>
      <c r="E39" s="174"/>
      <c r="F39" s="174"/>
      <c r="G39" s="5">
        <f>SUM(G37:G38)</f>
        <v>13.039999999999996</v>
      </c>
      <c r="H39" s="29">
        <f>SUM(H37:H38)</f>
        <v>872928.7280000002</v>
      </c>
      <c r="I39" s="76">
        <f>SUM(I37:I38)</f>
        <v>0</v>
      </c>
      <c r="J39" s="29">
        <f>SUM(J37:J38)</f>
        <v>872928.7280000002</v>
      </c>
    </row>
    <row r="40" spans="1:10" ht="15.75">
      <c r="A40" s="18">
        <v>3</v>
      </c>
      <c r="B40" s="152" t="s">
        <v>109</v>
      </c>
      <c r="C40" s="153"/>
      <c r="D40" s="153"/>
      <c r="E40" s="153"/>
      <c r="F40" s="153"/>
      <c r="G40" s="154"/>
      <c r="H40" s="80">
        <f>H14-H39</f>
        <v>156769.5619999998</v>
      </c>
      <c r="I40" s="64">
        <f>I14-I39</f>
        <v>0</v>
      </c>
      <c r="J40" s="81">
        <f>J14-J39</f>
        <v>156769.5619999998</v>
      </c>
    </row>
    <row r="41" spans="2:6" ht="15.75">
      <c r="B41" s="26"/>
      <c r="F41" s="26"/>
    </row>
    <row r="42" spans="2:6" ht="15.75">
      <c r="B42" s="30" t="s">
        <v>37</v>
      </c>
      <c r="C42" s="30"/>
      <c r="D42" s="30"/>
      <c r="E42" s="26"/>
      <c r="F42" s="26"/>
    </row>
    <row r="43" spans="2:4" ht="15.75">
      <c r="B43" s="30"/>
      <c r="C43" s="30"/>
      <c r="D43" s="30"/>
    </row>
    <row r="44" spans="2:4" ht="15.75">
      <c r="B44" s="33" t="s">
        <v>110</v>
      </c>
      <c r="C44" s="33"/>
      <c r="D44" s="31"/>
    </row>
    <row r="45" spans="2:4" ht="15.75">
      <c r="B45" s="150" t="s">
        <v>41</v>
      </c>
      <c r="C45" s="150"/>
      <c r="D45" s="150"/>
    </row>
  </sheetData>
  <sheetProtection/>
  <mergeCells count="37">
    <mergeCell ref="B38:F38"/>
    <mergeCell ref="B31:D31"/>
    <mergeCell ref="B36:E36"/>
    <mergeCell ref="B37:F37"/>
    <mergeCell ref="B35:E35"/>
    <mergeCell ref="B33:D33"/>
    <mergeCell ref="B34:D34"/>
    <mergeCell ref="B24:D24"/>
    <mergeCell ref="B39:F39"/>
    <mergeCell ref="B40:G40"/>
    <mergeCell ref="B45:D45"/>
    <mergeCell ref="B25:D25"/>
    <mergeCell ref="B26:D26"/>
    <mergeCell ref="B27:D27"/>
    <mergeCell ref="B28:D28"/>
    <mergeCell ref="B29:D29"/>
    <mergeCell ref="B30:D30"/>
    <mergeCell ref="B12:F12"/>
    <mergeCell ref="B13:F13"/>
    <mergeCell ref="B32:D32"/>
    <mergeCell ref="B17:D17"/>
    <mergeCell ref="B18:D18"/>
    <mergeCell ref="B19:D19"/>
    <mergeCell ref="B20:D20"/>
    <mergeCell ref="B21:D21"/>
    <mergeCell ref="B22:D22"/>
    <mergeCell ref="B23:D23"/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5">
      <selection activeCell="I23" sqref="I2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7.375" style="0" hidden="1" customWidth="1"/>
    <col min="8" max="8" width="12.625" style="0" customWidth="1"/>
    <col min="9" max="9" width="9.875" style="0" bestFit="1" customWidth="1"/>
  </cols>
  <sheetData>
    <row r="1" spans="1:8" ht="121.5" customHeight="1">
      <c r="A1" s="157" t="s">
        <v>112</v>
      </c>
      <c r="B1" s="157"/>
      <c r="C1" s="157"/>
      <c r="D1" s="157"/>
      <c r="E1" s="157"/>
      <c r="F1" s="157"/>
      <c r="G1" s="157"/>
      <c r="H1" s="157"/>
    </row>
    <row r="2" spans="1:6" ht="18.75">
      <c r="A2" s="1" t="s">
        <v>36</v>
      </c>
      <c r="B2" s="1" t="s">
        <v>40</v>
      </c>
      <c r="C2" s="2"/>
      <c r="D2" s="2" t="s">
        <v>0</v>
      </c>
      <c r="E2" s="4">
        <v>5557.2</v>
      </c>
      <c r="F2" s="2"/>
    </row>
    <row r="3" spans="2:6" ht="15.75">
      <c r="B3" s="3" t="s">
        <v>1</v>
      </c>
      <c r="C3" s="22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15</v>
      </c>
      <c r="F4" s="2"/>
      <c r="G4" s="2"/>
    </row>
    <row r="5" spans="2:7" ht="16.5" thickBot="1">
      <c r="B5" s="3"/>
      <c r="C5" s="4"/>
      <c r="D5" s="2" t="s">
        <v>5</v>
      </c>
      <c r="E5" s="2" t="s">
        <v>15</v>
      </c>
      <c r="F5" s="2"/>
      <c r="G5" s="2"/>
    </row>
    <row r="6" spans="1:8" ht="42" customHeight="1">
      <c r="A6" s="83" t="s">
        <v>31</v>
      </c>
      <c r="B6" s="191" t="s">
        <v>53</v>
      </c>
      <c r="C6" s="192"/>
      <c r="D6" s="193"/>
      <c r="E6" s="38" t="s">
        <v>6</v>
      </c>
      <c r="F6" s="38" t="s">
        <v>7</v>
      </c>
      <c r="G6" s="84" t="s">
        <v>87</v>
      </c>
      <c r="H6" s="85" t="s">
        <v>45</v>
      </c>
    </row>
    <row r="7" spans="1:8" ht="15.75" customHeight="1">
      <c r="A7" s="39">
        <v>1</v>
      </c>
      <c r="B7" s="194" t="s">
        <v>46</v>
      </c>
      <c r="C7" s="194"/>
      <c r="D7" s="194"/>
      <c r="E7" s="194"/>
      <c r="F7" s="194"/>
      <c r="G7" s="40"/>
      <c r="H7" s="41"/>
    </row>
    <row r="8" spans="1:8" ht="15.75" customHeight="1">
      <c r="A8" s="39"/>
      <c r="B8" s="155" t="s">
        <v>88</v>
      </c>
      <c r="C8" s="155"/>
      <c r="D8" s="155"/>
      <c r="E8" s="155"/>
      <c r="F8" s="155"/>
      <c r="G8" s="19">
        <f>G31</f>
        <v>14.900000000000002</v>
      </c>
      <c r="H8" s="41">
        <f>ROUND($E$2*G8*12,0)</f>
        <v>993627</v>
      </c>
    </row>
    <row r="9" spans="1:8" ht="15.75" customHeight="1">
      <c r="A9" s="39"/>
      <c r="B9" s="195" t="s">
        <v>47</v>
      </c>
      <c r="C9" s="195"/>
      <c r="D9" s="195"/>
      <c r="E9" s="195"/>
      <c r="F9" s="195"/>
      <c r="G9" s="18">
        <v>0.78</v>
      </c>
      <c r="H9" s="41">
        <f>ROUND($E$2*G9*12,0)</f>
        <v>52015</v>
      </c>
    </row>
    <row r="10" spans="1:8" ht="15.75" customHeight="1">
      <c r="A10" s="39">
        <v>2</v>
      </c>
      <c r="B10" s="156" t="s">
        <v>32</v>
      </c>
      <c r="C10" s="156"/>
      <c r="D10" s="156"/>
      <c r="E10" s="156"/>
      <c r="F10" s="156"/>
      <c r="G10" s="42"/>
      <c r="H10" s="41"/>
    </row>
    <row r="11" spans="1:8" ht="18.75" customHeight="1">
      <c r="A11" s="39" t="s">
        <v>64</v>
      </c>
      <c r="B11" s="15" t="s">
        <v>33</v>
      </c>
      <c r="C11" s="15"/>
      <c r="D11" s="15"/>
      <c r="E11" s="15"/>
      <c r="F11" s="5"/>
      <c r="G11" s="43"/>
      <c r="H11" s="41"/>
    </row>
    <row r="12" spans="1:8" ht="34.5" customHeight="1">
      <c r="A12" s="44"/>
      <c r="B12" s="186" t="s">
        <v>105</v>
      </c>
      <c r="C12" s="186"/>
      <c r="D12" s="186"/>
      <c r="E12" s="63" t="s">
        <v>28</v>
      </c>
      <c r="F12" s="45" t="s">
        <v>22</v>
      </c>
      <c r="G12" s="46">
        <v>1.26</v>
      </c>
      <c r="H12" s="47">
        <f aca="true" t="shared" si="0" ref="H12:H31">ROUND($E$2*G12*12,0)</f>
        <v>84025</v>
      </c>
    </row>
    <row r="13" spans="1:9" ht="15.75" customHeight="1">
      <c r="A13" s="44"/>
      <c r="B13" s="186" t="s">
        <v>16</v>
      </c>
      <c r="C13" s="186"/>
      <c r="D13" s="186"/>
      <c r="E13" s="63" t="s">
        <v>28</v>
      </c>
      <c r="F13" s="45" t="s">
        <v>17</v>
      </c>
      <c r="G13" s="46">
        <v>0.29</v>
      </c>
      <c r="H13" s="47">
        <f t="shared" si="0"/>
        <v>19339</v>
      </c>
      <c r="I13" s="24"/>
    </row>
    <row r="14" spans="1:8" ht="18.75" customHeight="1">
      <c r="A14" s="44"/>
      <c r="B14" s="187" t="s">
        <v>21</v>
      </c>
      <c r="C14" s="187"/>
      <c r="D14" s="187"/>
      <c r="E14" s="67" t="s">
        <v>65</v>
      </c>
      <c r="F14" s="48" t="s">
        <v>18</v>
      </c>
      <c r="G14" s="46">
        <v>1.02</v>
      </c>
      <c r="H14" s="47">
        <f t="shared" si="0"/>
        <v>68020</v>
      </c>
    </row>
    <row r="15" spans="1:8" ht="15.75" customHeight="1">
      <c r="A15" s="44"/>
      <c r="B15" s="188" t="s">
        <v>27</v>
      </c>
      <c r="C15" s="188"/>
      <c r="D15" s="188"/>
      <c r="E15" s="69" t="s">
        <v>8</v>
      </c>
      <c r="F15" s="49" t="s">
        <v>9</v>
      </c>
      <c r="G15" s="46">
        <v>0.53</v>
      </c>
      <c r="H15" s="47">
        <f t="shared" si="0"/>
        <v>35344</v>
      </c>
    </row>
    <row r="16" spans="1:8" ht="31.5" customHeight="1">
      <c r="A16" s="44"/>
      <c r="B16" s="187" t="s">
        <v>25</v>
      </c>
      <c r="C16" s="187"/>
      <c r="D16" s="187"/>
      <c r="E16" s="67" t="s">
        <v>66</v>
      </c>
      <c r="F16" s="48" t="s">
        <v>23</v>
      </c>
      <c r="G16" s="46">
        <v>0.12</v>
      </c>
      <c r="H16" s="47">
        <f t="shared" si="0"/>
        <v>8002</v>
      </c>
    </row>
    <row r="17" spans="1:8" ht="15.75" customHeight="1">
      <c r="A17" s="44"/>
      <c r="B17" s="187" t="s">
        <v>10</v>
      </c>
      <c r="C17" s="187"/>
      <c r="D17" s="187"/>
      <c r="E17" s="67" t="s">
        <v>8</v>
      </c>
      <c r="F17" s="48" t="s">
        <v>11</v>
      </c>
      <c r="G17" s="46">
        <v>2.29</v>
      </c>
      <c r="H17" s="47">
        <f t="shared" si="0"/>
        <v>152712</v>
      </c>
    </row>
    <row r="18" spans="1:8" ht="15.75" customHeight="1">
      <c r="A18" s="44"/>
      <c r="B18" s="187" t="s">
        <v>24</v>
      </c>
      <c r="C18" s="189"/>
      <c r="D18" s="189"/>
      <c r="E18" s="70" t="s">
        <v>12</v>
      </c>
      <c r="F18" s="42" t="s">
        <v>48</v>
      </c>
      <c r="G18" s="46">
        <v>0.05</v>
      </c>
      <c r="H18" s="47">
        <f t="shared" si="0"/>
        <v>3334</v>
      </c>
    </row>
    <row r="19" spans="1:8" ht="33" customHeight="1">
      <c r="A19" s="44"/>
      <c r="B19" s="187" t="s">
        <v>35</v>
      </c>
      <c r="C19" s="187"/>
      <c r="D19" s="187"/>
      <c r="E19" s="63" t="s">
        <v>29</v>
      </c>
      <c r="F19" s="48" t="s">
        <v>39</v>
      </c>
      <c r="G19" s="46">
        <v>2.21</v>
      </c>
      <c r="H19" s="47">
        <f t="shared" si="0"/>
        <v>147377</v>
      </c>
    </row>
    <row r="20" spans="1:8" ht="36.75" customHeight="1">
      <c r="A20" s="44"/>
      <c r="B20" s="186" t="s">
        <v>14</v>
      </c>
      <c r="C20" s="186"/>
      <c r="D20" s="186"/>
      <c r="E20" s="63" t="s">
        <v>49</v>
      </c>
      <c r="F20" s="48" t="s">
        <v>39</v>
      </c>
      <c r="G20" s="46">
        <v>0.53</v>
      </c>
      <c r="H20" s="47">
        <f t="shared" si="0"/>
        <v>35344</v>
      </c>
    </row>
    <row r="21" spans="1:8" ht="36.75" customHeight="1">
      <c r="A21" s="44"/>
      <c r="B21" s="187" t="s">
        <v>30</v>
      </c>
      <c r="C21" s="189"/>
      <c r="D21" s="189"/>
      <c r="E21" s="63" t="s">
        <v>29</v>
      </c>
      <c r="F21" s="48" t="s">
        <v>39</v>
      </c>
      <c r="G21" s="46">
        <f>3.62-G22-G23</f>
        <v>3.0200000000000005</v>
      </c>
      <c r="H21" s="47">
        <f t="shared" si="0"/>
        <v>201393</v>
      </c>
    </row>
    <row r="22" spans="1:8" ht="15.75" customHeight="1">
      <c r="A22" s="44"/>
      <c r="B22" s="187" t="s">
        <v>89</v>
      </c>
      <c r="C22" s="187"/>
      <c r="D22" s="187"/>
      <c r="E22" s="67" t="s">
        <v>8</v>
      </c>
      <c r="F22" s="48" t="s">
        <v>39</v>
      </c>
      <c r="G22" s="46">
        <v>0.3</v>
      </c>
      <c r="H22" s="47">
        <f t="shared" si="0"/>
        <v>20006</v>
      </c>
    </row>
    <row r="23" spans="1:8" ht="23.25" customHeight="1">
      <c r="A23" s="44"/>
      <c r="B23" s="187" t="s">
        <v>68</v>
      </c>
      <c r="C23" s="187"/>
      <c r="D23" s="187"/>
      <c r="E23" s="67" t="s">
        <v>8</v>
      </c>
      <c r="F23" s="48" t="s">
        <v>39</v>
      </c>
      <c r="G23" s="46">
        <v>0.3</v>
      </c>
      <c r="H23" s="47">
        <f t="shared" si="0"/>
        <v>20006</v>
      </c>
    </row>
    <row r="24" spans="1:8" ht="34.5" customHeight="1">
      <c r="A24" s="44"/>
      <c r="B24" s="189" t="s">
        <v>19</v>
      </c>
      <c r="C24" s="189"/>
      <c r="D24" s="189"/>
      <c r="E24" s="63" t="s">
        <v>29</v>
      </c>
      <c r="F24" s="48" t="s">
        <v>39</v>
      </c>
      <c r="G24" s="46">
        <v>1.49</v>
      </c>
      <c r="H24" s="47">
        <f t="shared" si="0"/>
        <v>99363</v>
      </c>
    </row>
    <row r="25" spans="1:8" ht="15.75">
      <c r="A25" s="18"/>
      <c r="B25" s="183" t="s">
        <v>69</v>
      </c>
      <c r="C25" s="184"/>
      <c r="D25" s="185"/>
      <c r="E25" s="67" t="s">
        <v>8</v>
      </c>
      <c r="F25" s="48"/>
      <c r="G25" s="46"/>
      <c r="H25" s="47"/>
    </row>
    <row r="26" spans="1:8" ht="31.5" customHeight="1">
      <c r="A26" s="18"/>
      <c r="B26" s="183" t="s">
        <v>70</v>
      </c>
      <c r="C26" s="184"/>
      <c r="D26" s="185"/>
      <c r="E26" s="63" t="s">
        <v>29</v>
      </c>
      <c r="F26" s="48"/>
      <c r="G26" s="46"/>
      <c r="H26" s="47"/>
    </row>
    <row r="27" spans="1:8" ht="15.75" customHeight="1">
      <c r="A27" s="44"/>
      <c r="B27" s="175"/>
      <c r="C27" s="149"/>
      <c r="D27" s="124"/>
      <c r="E27" s="63"/>
      <c r="F27" s="48"/>
      <c r="G27" s="46"/>
      <c r="H27" s="47"/>
    </row>
    <row r="28" spans="1:8" ht="15.75">
      <c r="A28" s="44"/>
      <c r="B28" s="175"/>
      <c r="C28" s="149"/>
      <c r="D28" s="124"/>
      <c r="E28" s="63"/>
      <c r="F28" s="48"/>
      <c r="G28" s="46"/>
      <c r="H28" s="47"/>
    </row>
    <row r="29" spans="1:8" ht="15.75">
      <c r="A29" s="44"/>
      <c r="B29" s="180" t="s">
        <v>26</v>
      </c>
      <c r="C29" s="181"/>
      <c r="D29" s="182"/>
      <c r="E29" s="12"/>
      <c r="F29" s="48"/>
      <c r="G29" s="16">
        <f>SUM(G12:G28)</f>
        <v>13.410000000000002</v>
      </c>
      <c r="H29" s="47">
        <f t="shared" si="0"/>
        <v>894265</v>
      </c>
    </row>
    <row r="30" spans="1:8" ht="19.5" customHeight="1">
      <c r="A30" s="39" t="s">
        <v>71</v>
      </c>
      <c r="B30" s="177" t="s">
        <v>113</v>
      </c>
      <c r="C30" s="178"/>
      <c r="D30" s="178"/>
      <c r="E30" s="179"/>
      <c r="F30" s="35" t="s">
        <v>50</v>
      </c>
      <c r="G30" s="19">
        <v>1.49</v>
      </c>
      <c r="H30" s="47">
        <v>104700</v>
      </c>
    </row>
    <row r="31" spans="1:8" ht="15.75" customHeight="1">
      <c r="A31" s="39"/>
      <c r="B31" s="196" t="s">
        <v>90</v>
      </c>
      <c r="C31" s="196"/>
      <c r="D31" s="196"/>
      <c r="E31" s="196"/>
      <c r="F31" s="196"/>
      <c r="G31" s="16">
        <f>SUM(G29:G30)</f>
        <v>14.900000000000002</v>
      </c>
      <c r="H31" s="86">
        <f t="shared" si="0"/>
        <v>993627</v>
      </c>
    </row>
    <row r="32" spans="1:8" ht="18.75" customHeight="1" thickBot="1">
      <c r="A32" s="87">
        <v>3</v>
      </c>
      <c r="B32" s="197" t="s">
        <v>114</v>
      </c>
      <c r="C32" s="198"/>
      <c r="D32" s="199"/>
      <c r="E32" s="88"/>
      <c r="F32" s="89" t="s">
        <v>50</v>
      </c>
      <c r="G32" s="90">
        <v>0.78</v>
      </c>
      <c r="H32" s="91">
        <f>ROUND($E$2*G32*12,0)</f>
        <v>52015</v>
      </c>
    </row>
    <row r="33" spans="2:8" ht="48" customHeight="1">
      <c r="B33" s="190" t="s">
        <v>115</v>
      </c>
      <c r="C33" s="190"/>
      <c r="D33" s="190"/>
      <c r="E33" s="190"/>
      <c r="G33" s="50"/>
      <c r="H33" s="51"/>
    </row>
    <row r="34" spans="2:8" ht="31.5" customHeight="1">
      <c r="B34" s="30" t="s">
        <v>37</v>
      </c>
      <c r="C34" s="30"/>
      <c r="D34" s="30"/>
      <c r="E34" s="26"/>
      <c r="G34" s="50"/>
      <c r="H34" s="51"/>
    </row>
  </sheetData>
  <sheetProtection/>
  <mergeCells count="28">
    <mergeCell ref="B31:F31"/>
    <mergeCell ref="B32:D32"/>
    <mergeCell ref="B26:D26"/>
    <mergeCell ref="B27:D27"/>
    <mergeCell ref="B28:D28"/>
    <mergeCell ref="B29:D29"/>
    <mergeCell ref="B19:D19"/>
    <mergeCell ref="B20:D20"/>
    <mergeCell ref="B21:D21"/>
    <mergeCell ref="B22:D22"/>
    <mergeCell ref="B33:E33"/>
    <mergeCell ref="A1:H1"/>
    <mergeCell ref="B6:D6"/>
    <mergeCell ref="B7:F7"/>
    <mergeCell ref="B8:F8"/>
    <mergeCell ref="B9:F9"/>
    <mergeCell ref="B23:D23"/>
    <mergeCell ref="B24:D24"/>
    <mergeCell ref="B25:D25"/>
    <mergeCell ref="B30:E30"/>
    <mergeCell ref="B15:D15"/>
    <mergeCell ref="B16:D16"/>
    <mergeCell ref="B17:D17"/>
    <mergeCell ref="B18:D18"/>
    <mergeCell ref="B10:F10"/>
    <mergeCell ref="B12:D12"/>
    <mergeCell ref="B13:D13"/>
    <mergeCell ref="B14:D14"/>
  </mergeCells>
  <printOptions/>
  <pageMargins left="0.93" right="0" top="0" bottom="0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3">
      <selection activeCell="G19" sqref="G19: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27.375" style="0" hidden="1" customWidth="1"/>
    <col min="7" max="7" width="10.875" style="0" customWidth="1"/>
    <col min="8" max="8" width="12.625" style="0" customWidth="1"/>
    <col min="9" max="9" width="9.875" style="0" bestFit="1" customWidth="1"/>
  </cols>
  <sheetData>
    <row r="1" spans="3:8" ht="67.5" customHeight="1">
      <c r="C1" s="201" t="s">
        <v>122</v>
      </c>
      <c r="D1" s="201"/>
      <c r="E1" s="201"/>
      <c r="F1" s="201"/>
      <c r="G1" s="201"/>
      <c r="H1" s="201"/>
    </row>
    <row r="4" spans="1:8" ht="20.25" customHeight="1">
      <c r="A4" s="157" t="s">
        <v>116</v>
      </c>
      <c r="B4" s="157"/>
      <c r="C4" s="157"/>
      <c r="D4" s="157"/>
      <c r="E4" s="157"/>
      <c r="F4" s="157"/>
      <c r="G4" s="157"/>
      <c r="H4" s="157"/>
    </row>
    <row r="5" spans="1:6" ht="19.5">
      <c r="A5" s="92"/>
      <c r="B5" s="92"/>
      <c r="C5" s="92"/>
      <c r="D5" s="92"/>
      <c r="E5" s="92"/>
      <c r="F5" s="92"/>
    </row>
    <row r="6" spans="2:7" ht="19.5" customHeight="1">
      <c r="B6" s="202" t="s">
        <v>128</v>
      </c>
      <c r="C6" s="202"/>
      <c r="D6" s="202"/>
      <c r="E6" s="202"/>
      <c r="F6" s="202"/>
      <c r="G6" s="202"/>
    </row>
    <row r="8" spans="1:6" ht="18.75">
      <c r="A8" s="1" t="s">
        <v>36</v>
      </c>
      <c r="B8" s="1" t="s">
        <v>40</v>
      </c>
      <c r="C8" s="2"/>
      <c r="D8" s="2" t="s">
        <v>0</v>
      </c>
      <c r="E8" s="4">
        <v>5563.4</v>
      </c>
      <c r="F8" s="2"/>
    </row>
    <row r="9" spans="2:6" ht="15.75">
      <c r="B9" s="3" t="s">
        <v>1</v>
      </c>
      <c r="C9" s="22">
        <v>9</v>
      </c>
      <c r="D9" s="2" t="s">
        <v>2</v>
      </c>
      <c r="E9" s="4">
        <v>108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15</v>
      </c>
      <c r="F11" s="2"/>
      <c r="G11" s="2"/>
    </row>
    <row r="12" spans="1:8" ht="94.5">
      <c r="A12" s="83" t="s">
        <v>31</v>
      </c>
      <c r="B12" s="191" t="s">
        <v>53</v>
      </c>
      <c r="C12" s="192"/>
      <c r="D12" s="193"/>
      <c r="E12" s="38" t="s">
        <v>6</v>
      </c>
      <c r="F12" s="38" t="s">
        <v>7</v>
      </c>
      <c r="G12" s="98" t="s">
        <v>129</v>
      </c>
      <c r="H12" s="99" t="s">
        <v>130</v>
      </c>
    </row>
    <row r="13" spans="1:8" ht="27.75" customHeight="1">
      <c r="A13" s="93">
        <v>1</v>
      </c>
      <c r="B13" s="159">
        <v>2</v>
      </c>
      <c r="C13" s="160"/>
      <c r="D13" s="200"/>
      <c r="E13" s="95">
        <v>3</v>
      </c>
      <c r="F13" s="94"/>
      <c r="G13" s="96">
        <v>4</v>
      </c>
      <c r="H13" s="97" t="s">
        <v>131</v>
      </c>
    </row>
    <row r="14" spans="1:8" ht="15.75" customHeight="1" hidden="1">
      <c r="A14" s="39">
        <v>1</v>
      </c>
      <c r="B14" s="194" t="s">
        <v>46</v>
      </c>
      <c r="C14" s="194"/>
      <c r="D14" s="194"/>
      <c r="E14" s="194"/>
      <c r="F14" s="194"/>
      <c r="G14" s="40"/>
      <c r="H14" s="41"/>
    </row>
    <row r="15" spans="1:8" ht="15.75" customHeight="1" hidden="1">
      <c r="A15" s="39"/>
      <c r="B15" s="155" t="s">
        <v>88</v>
      </c>
      <c r="C15" s="155"/>
      <c r="D15" s="155"/>
      <c r="E15" s="155"/>
      <c r="F15" s="155"/>
      <c r="G15" s="19">
        <f>G36</f>
        <v>15.36</v>
      </c>
      <c r="H15" s="41">
        <f>ROUND($E$8*G15*12,0)</f>
        <v>1025446</v>
      </c>
    </row>
    <row r="16" spans="1:8" ht="15.75" customHeight="1" hidden="1">
      <c r="A16" s="39"/>
      <c r="B16" s="195" t="s">
        <v>47</v>
      </c>
      <c r="C16" s="195"/>
      <c r="D16" s="195"/>
      <c r="E16" s="195"/>
      <c r="F16" s="195"/>
      <c r="G16" s="18">
        <v>0.78</v>
      </c>
      <c r="H16" s="41">
        <f>ROUND($E$8*G16*12,0)</f>
        <v>52073</v>
      </c>
    </row>
    <row r="17" spans="1:8" ht="15.75" customHeight="1">
      <c r="A17" s="39" t="s">
        <v>42</v>
      </c>
      <c r="B17" s="156" t="s">
        <v>32</v>
      </c>
      <c r="C17" s="156"/>
      <c r="D17" s="156"/>
      <c r="E17" s="156"/>
      <c r="F17" s="156"/>
      <c r="G17" s="42"/>
      <c r="H17" s="41"/>
    </row>
    <row r="18" spans="1:8" ht="18.75" customHeight="1">
      <c r="A18" s="39" t="s">
        <v>123</v>
      </c>
      <c r="B18" s="15" t="s">
        <v>33</v>
      </c>
      <c r="C18" s="15"/>
      <c r="D18" s="15"/>
      <c r="E18" s="15"/>
      <c r="F18" s="5"/>
      <c r="G18" s="43"/>
      <c r="H18" s="41"/>
    </row>
    <row r="19" spans="1:8" ht="34.5" customHeight="1">
      <c r="A19" s="44"/>
      <c r="B19" s="186" t="s">
        <v>132</v>
      </c>
      <c r="C19" s="186"/>
      <c r="D19" s="186"/>
      <c r="E19" s="63" t="s">
        <v>28</v>
      </c>
      <c r="F19" s="45" t="s">
        <v>22</v>
      </c>
      <c r="G19" s="102">
        <v>1.29</v>
      </c>
      <c r="H19" s="47">
        <f aca="true" t="shared" si="0" ref="H19:H31">ROUND($E$8*G19*4,0)</f>
        <v>28707</v>
      </c>
    </row>
    <row r="20" spans="1:9" ht="15.75" customHeight="1">
      <c r="A20" s="44"/>
      <c r="B20" s="186" t="s">
        <v>16</v>
      </c>
      <c r="C20" s="186"/>
      <c r="D20" s="186"/>
      <c r="E20" s="63" t="s">
        <v>28</v>
      </c>
      <c r="F20" s="45" t="s">
        <v>17</v>
      </c>
      <c r="G20" s="102">
        <v>0.3</v>
      </c>
      <c r="H20" s="47">
        <f t="shared" si="0"/>
        <v>6676</v>
      </c>
      <c r="I20" s="24"/>
    </row>
    <row r="21" spans="1:8" ht="15.75">
      <c r="A21" s="44"/>
      <c r="B21" s="187" t="s">
        <v>21</v>
      </c>
      <c r="C21" s="187"/>
      <c r="D21" s="187"/>
      <c r="E21" s="67" t="s">
        <v>65</v>
      </c>
      <c r="F21" s="48" t="s">
        <v>18</v>
      </c>
      <c r="G21" s="102">
        <v>1.05</v>
      </c>
      <c r="H21" s="47">
        <f t="shared" si="0"/>
        <v>23366</v>
      </c>
    </row>
    <row r="22" spans="1:8" ht="15.75" customHeight="1">
      <c r="A22" s="44"/>
      <c r="B22" s="188" t="s">
        <v>27</v>
      </c>
      <c r="C22" s="188"/>
      <c r="D22" s="188"/>
      <c r="E22" s="69" t="s">
        <v>8</v>
      </c>
      <c r="F22" s="49" t="s">
        <v>9</v>
      </c>
      <c r="G22" s="102">
        <v>0.54</v>
      </c>
      <c r="H22" s="47">
        <f t="shared" si="0"/>
        <v>12017</v>
      </c>
    </row>
    <row r="23" spans="1:8" ht="51">
      <c r="A23" s="44"/>
      <c r="B23" s="187" t="s">
        <v>25</v>
      </c>
      <c r="C23" s="187"/>
      <c r="D23" s="187"/>
      <c r="E23" s="67" t="s">
        <v>66</v>
      </c>
      <c r="F23" s="48" t="s">
        <v>23</v>
      </c>
      <c r="G23" s="102">
        <v>0.13</v>
      </c>
      <c r="H23" s="47">
        <f t="shared" si="0"/>
        <v>2893</v>
      </c>
    </row>
    <row r="24" spans="1:8" ht="15.75" customHeight="1">
      <c r="A24" s="44"/>
      <c r="B24" s="187" t="s">
        <v>10</v>
      </c>
      <c r="C24" s="187"/>
      <c r="D24" s="187"/>
      <c r="E24" s="67" t="s">
        <v>8</v>
      </c>
      <c r="F24" s="48" t="s">
        <v>11</v>
      </c>
      <c r="G24" s="102">
        <v>2.35</v>
      </c>
      <c r="H24" s="47">
        <f t="shared" si="0"/>
        <v>52296</v>
      </c>
    </row>
    <row r="25" spans="1:8" ht="15.75" customHeight="1">
      <c r="A25" s="44"/>
      <c r="B25" s="187" t="s">
        <v>24</v>
      </c>
      <c r="C25" s="189"/>
      <c r="D25" s="189"/>
      <c r="E25" s="70" t="s">
        <v>12</v>
      </c>
      <c r="F25" s="42" t="s">
        <v>48</v>
      </c>
      <c r="G25" s="102">
        <v>0.05</v>
      </c>
      <c r="H25" s="47">
        <f t="shared" si="0"/>
        <v>1113</v>
      </c>
    </row>
    <row r="26" spans="1:8" ht="51">
      <c r="A26" s="44"/>
      <c r="B26" s="187" t="s">
        <v>35</v>
      </c>
      <c r="C26" s="187"/>
      <c r="D26" s="187"/>
      <c r="E26" s="63" t="s">
        <v>126</v>
      </c>
      <c r="F26" s="48" t="s">
        <v>39</v>
      </c>
      <c r="G26" s="102">
        <v>1.63</v>
      </c>
      <c r="H26" s="47">
        <f t="shared" si="0"/>
        <v>36273</v>
      </c>
    </row>
    <row r="27" spans="1:8" ht="51">
      <c r="A27" s="44"/>
      <c r="B27" s="186" t="s">
        <v>14</v>
      </c>
      <c r="C27" s="186"/>
      <c r="D27" s="186"/>
      <c r="E27" s="63" t="s">
        <v>49</v>
      </c>
      <c r="F27" s="48" t="s">
        <v>39</v>
      </c>
      <c r="G27" s="102">
        <v>0.56</v>
      </c>
      <c r="H27" s="47">
        <f t="shared" si="0"/>
        <v>12462</v>
      </c>
    </row>
    <row r="28" spans="1:8" ht="30" customHeight="1">
      <c r="A28" s="44"/>
      <c r="B28" s="187" t="s">
        <v>30</v>
      </c>
      <c r="C28" s="189"/>
      <c r="D28" s="189"/>
      <c r="E28" s="63" t="s">
        <v>29</v>
      </c>
      <c r="F28" s="48" t="s">
        <v>39</v>
      </c>
      <c r="G28" s="102">
        <f>4.38-G29-G30</f>
        <v>3.7600000000000002</v>
      </c>
      <c r="H28" s="47">
        <f t="shared" si="0"/>
        <v>83674</v>
      </c>
    </row>
    <row r="29" spans="1:8" ht="15.75" customHeight="1">
      <c r="A29" s="44"/>
      <c r="B29" s="187" t="s">
        <v>89</v>
      </c>
      <c r="C29" s="187"/>
      <c r="D29" s="187"/>
      <c r="E29" s="67" t="s">
        <v>8</v>
      </c>
      <c r="F29" s="48" t="s">
        <v>39</v>
      </c>
      <c r="G29" s="102">
        <v>0.31</v>
      </c>
      <c r="H29" s="47">
        <f t="shared" si="0"/>
        <v>6899</v>
      </c>
    </row>
    <row r="30" spans="1:8" ht="15.75">
      <c r="A30" s="44"/>
      <c r="B30" s="187" t="s">
        <v>68</v>
      </c>
      <c r="C30" s="187"/>
      <c r="D30" s="187"/>
      <c r="E30" s="67" t="s">
        <v>8</v>
      </c>
      <c r="F30" s="48" t="s">
        <v>39</v>
      </c>
      <c r="G30" s="102">
        <v>0.31</v>
      </c>
      <c r="H30" s="47">
        <f t="shared" si="0"/>
        <v>6899</v>
      </c>
    </row>
    <row r="31" spans="1:8" ht="25.5">
      <c r="A31" s="44"/>
      <c r="B31" s="189" t="s">
        <v>19</v>
      </c>
      <c r="C31" s="189"/>
      <c r="D31" s="189"/>
      <c r="E31" s="63" t="s">
        <v>29</v>
      </c>
      <c r="F31" s="48" t="s">
        <v>39</v>
      </c>
      <c r="G31" s="102">
        <v>1.54</v>
      </c>
      <c r="H31" s="47">
        <f t="shared" si="0"/>
        <v>34271</v>
      </c>
    </row>
    <row r="32" spans="1:8" ht="15.75" hidden="1">
      <c r="A32" s="18"/>
      <c r="B32" s="183" t="s">
        <v>69</v>
      </c>
      <c r="C32" s="184"/>
      <c r="D32" s="185"/>
      <c r="E32" s="67" t="s">
        <v>8</v>
      </c>
      <c r="F32" s="48"/>
      <c r="G32" s="102"/>
      <c r="H32" s="47">
        <f>ROUND($E$8*G32*2,0)</f>
        <v>0</v>
      </c>
    </row>
    <row r="33" spans="1:8" ht="25.5" hidden="1">
      <c r="A33" s="18"/>
      <c r="B33" s="183" t="s">
        <v>70</v>
      </c>
      <c r="C33" s="184"/>
      <c r="D33" s="185"/>
      <c r="E33" s="63" t="s">
        <v>29</v>
      </c>
      <c r="F33" s="48"/>
      <c r="G33" s="102"/>
      <c r="H33" s="47">
        <f>ROUND($E$8*G33*2,0)</f>
        <v>0</v>
      </c>
    </row>
    <row r="34" spans="1:8" ht="15.75">
      <c r="A34" s="44"/>
      <c r="B34" s="180" t="s">
        <v>26</v>
      </c>
      <c r="C34" s="181"/>
      <c r="D34" s="182"/>
      <c r="E34" s="12"/>
      <c r="F34" s="48"/>
      <c r="G34" s="103">
        <f>SUM(G19:G33)</f>
        <v>13.82</v>
      </c>
      <c r="H34" s="107">
        <f>SUM(H19:H33)</f>
        <v>307546</v>
      </c>
    </row>
    <row r="35" spans="1:8" ht="15.75">
      <c r="A35" s="39" t="s">
        <v>124</v>
      </c>
      <c r="B35" s="177" t="s">
        <v>113</v>
      </c>
      <c r="C35" s="178"/>
      <c r="D35" s="178"/>
      <c r="E35" s="67" t="s">
        <v>121</v>
      </c>
      <c r="F35" s="35" t="s">
        <v>50</v>
      </c>
      <c r="G35" s="104">
        <v>1.54</v>
      </c>
      <c r="H35" s="47">
        <f>ROUND($E$8*G35*4,0)</f>
        <v>34271</v>
      </c>
    </row>
    <row r="36" spans="1:8" ht="15.75" customHeight="1">
      <c r="A36" s="39" t="s">
        <v>125</v>
      </c>
      <c r="B36" s="196" t="s">
        <v>90</v>
      </c>
      <c r="C36" s="196"/>
      <c r="D36" s="196"/>
      <c r="E36" s="196"/>
      <c r="F36" s="196"/>
      <c r="G36" s="103">
        <f>SUM(G34:G35)</f>
        <v>15.36</v>
      </c>
      <c r="H36" s="108">
        <f>SUM(H34:H35)</f>
        <v>341817</v>
      </c>
    </row>
    <row r="37" spans="1:8" ht="18.75" customHeight="1" thickBot="1">
      <c r="A37" s="87" t="s">
        <v>43</v>
      </c>
      <c r="B37" s="197" t="s">
        <v>114</v>
      </c>
      <c r="C37" s="198"/>
      <c r="D37" s="199"/>
      <c r="E37" s="100" t="s">
        <v>121</v>
      </c>
      <c r="F37" s="89" t="s">
        <v>50</v>
      </c>
      <c r="G37" s="105">
        <v>0.8</v>
      </c>
      <c r="H37" s="101">
        <f>ROUND($E$8*G37*4,0)</f>
        <v>17803</v>
      </c>
    </row>
    <row r="38" spans="2:5" ht="15.75" customHeight="1">
      <c r="B38" s="203" t="s">
        <v>127</v>
      </c>
      <c r="C38" s="203"/>
      <c r="D38" s="203"/>
      <c r="E38" s="203"/>
    </row>
    <row r="40" spans="2:8" ht="15.75">
      <c r="B40" s="33" t="s">
        <v>117</v>
      </c>
      <c r="C40" s="33"/>
      <c r="D40" s="33"/>
      <c r="E40" s="26" t="s">
        <v>118</v>
      </c>
      <c r="F40" s="26"/>
      <c r="G40" s="26"/>
      <c r="H40" s="26"/>
    </row>
    <row r="42" spans="2:5" ht="15.75">
      <c r="B42" s="33" t="s">
        <v>119</v>
      </c>
      <c r="C42" s="33"/>
      <c r="D42" s="33"/>
      <c r="E42" t="s">
        <v>120</v>
      </c>
    </row>
  </sheetData>
  <sheetProtection/>
  <mergeCells count="29">
    <mergeCell ref="B6:G6"/>
    <mergeCell ref="B35:D35"/>
    <mergeCell ref="B38:E38"/>
    <mergeCell ref="B31:D31"/>
    <mergeCell ref="B32:D32"/>
    <mergeCell ref="B25:D25"/>
    <mergeCell ref="B26:D26"/>
    <mergeCell ref="B27:D27"/>
    <mergeCell ref="B22:D22"/>
    <mergeCell ref="B23:D23"/>
    <mergeCell ref="C1:H1"/>
    <mergeCell ref="A4:H4"/>
    <mergeCell ref="B36:F36"/>
    <mergeCell ref="B37:D37"/>
    <mergeCell ref="B33:D33"/>
    <mergeCell ref="B34:D34"/>
    <mergeCell ref="B29:D29"/>
    <mergeCell ref="B30:D30"/>
    <mergeCell ref="B28:D28"/>
    <mergeCell ref="B21:D21"/>
    <mergeCell ref="B12:D12"/>
    <mergeCell ref="B14:F14"/>
    <mergeCell ref="B15:F15"/>
    <mergeCell ref="B13:D13"/>
    <mergeCell ref="B24:D24"/>
    <mergeCell ref="B16:F16"/>
    <mergeCell ref="B17:F17"/>
    <mergeCell ref="B19:D19"/>
    <mergeCell ref="B20:D2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57" t="s">
        <v>145</v>
      </c>
      <c r="B1" s="157"/>
      <c r="C1" s="157"/>
      <c r="D1" s="157"/>
      <c r="E1" s="157"/>
      <c r="F1" s="157"/>
      <c r="G1" s="157"/>
      <c r="H1" s="157"/>
      <c r="I1" s="157"/>
    </row>
    <row r="2" spans="1:9" ht="20.2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0.25">
      <c r="A3" s="106"/>
      <c r="B3" s="106"/>
      <c r="C3" s="106"/>
      <c r="D3" s="106"/>
      <c r="E3" s="106"/>
      <c r="F3" s="106"/>
      <c r="G3" s="106"/>
      <c r="H3" s="106"/>
      <c r="I3" s="106"/>
    </row>
    <row r="4" spans="1:6" ht="47.25">
      <c r="A4" s="1" t="s">
        <v>36</v>
      </c>
      <c r="B4" s="1" t="s">
        <v>40</v>
      </c>
      <c r="C4" s="2"/>
      <c r="D4" s="110" t="s">
        <v>133</v>
      </c>
      <c r="E4" s="4">
        <v>5563.4</v>
      </c>
      <c r="F4" s="2"/>
    </row>
    <row r="5" spans="2:6" ht="15.75">
      <c r="B5" s="3" t="s">
        <v>1</v>
      </c>
      <c r="C5" s="22">
        <v>9</v>
      </c>
      <c r="D5" s="2" t="s">
        <v>2</v>
      </c>
      <c r="E5" s="4">
        <v>108</v>
      </c>
      <c r="F5" s="2"/>
    </row>
    <row r="6" spans="2:8" ht="15.75">
      <c r="B6" s="3" t="s">
        <v>3</v>
      </c>
      <c r="C6" s="4">
        <v>3</v>
      </c>
      <c r="D6" s="2" t="s">
        <v>4</v>
      </c>
      <c r="E6" s="2" t="s">
        <v>15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15</v>
      </c>
      <c r="F7" s="2"/>
      <c r="G7" s="2"/>
      <c r="H7" s="2"/>
    </row>
    <row r="8" spans="1:9" ht="89.25">
      <c r="A8" s="83" t="s">
        <v>31</v>
      </c>
      <c r="B8" s="191" t="s">
        <v>53</v>
      </c>
      <c r="C8" s="192"/>
      <c r="D8" s="193"/>
      <c r="E8" s="38" t="s">
        <v>6</v>
      </c>
      <c r="F8" s="38" t="s">
        <v>7</v>
      </c>
      <c r="G8" s="84" t="s">
        <v>134</v>
      </c>
      <c r="H8" s="84" t="s">
        <v>135</v>
      </c>
      <c r="I8" s="85" t="s">
        <v>136</v>
      </c>
    </row>
    <row r="9" spans="1:9" ht="38.25">
      <c r="A9" s="93">
        <v>1</v>
      </c>
      <c r="B9" s="159">
        <v>2</v>
      </c>
      <c r="C9" s="160"/>
      <c r="D9" s="200"/>
      <c r="E9" s="95">
        <v>3</v>
      </c>
      <c r="F9" s="95">
        <v>3</v>
      </c>
      <c r="G9" s="95">
        <v>4</v>
      </c>
      <c r="H9" s="95">
        <v>5</v>
      </c>
      <c r="I9" s="97" t="s">
        <v>137</v>
      </c>
    </row>
    <row r="10" spans="1:9" ht="15.75" customHeight="1">
      <c r="A10" s="39">
        <v>1</v>
      </c>
      <c r="B10" s="194" t="s">
        <v>46</v>
      </c>
      <c r="C10" s="194"/>
      <c r="D10" s="194"/>
      <c r="E10" s="194"/>
      <c r="F10" s="194"/>
      <c r="G10" s="40"/>
      <c r="H10" s="111"/>
      <c r="I10" s="41"/>
    </row>
    <row r="11" spans="1:9" ht="15.75" customHeight="1">
      <c r="A11" s="39"/>
      <c r="B11" s="155" t="s">
        <v>88</v>
      </c>
      <c r="C11" s="155"/>
      <c r="D11" s="155"/>
      <c r="E11" s="155"/>
      <c r="F11" s="155"/>
      <c r="G11" s="19">
        <f>G34</f>
        <v>14.370000000000001</v>
      </c>
      <c r="H11" s="19">
        <f>H34</f>
        <v>15.3</v>
      </c>
      <c r="I11" s="47">
        <f>ROUND($E$4*G11*6,0)+ROUND($E$4*H11*6,0)</f>
        <v>990396</v>
      </c>
    </row>
    <row r="12" spans="1:9" ht="15.75" customHeight="1">
      <c r="A12" s="39"/>
      <c r="B12" s="195" t="s">
        <v>47</v>
      </c>
      <c r="C12" s="195"/>
      <c r="D12" s="195"/>
      <c r="E12" s="195"/>
      <c r="F12" s="195"/>
      <c r="G12" s="19">
        <f>G35</f>
        <v>0.8</v>
      </c>
      <c r="H12" s="19">
        <f>H35</f>
        <v>0.85</v>
      </c>
      <c r="I12" s="47">
        <f>ROUND($E$4*G12*6,0)+ROUND($E$4*H12*6,0)</f>
        <v>55077</v>
      </c>
    </row>
    <row r="13" spans="1:9" ht="15.75" customHeight="1">
      <c r="A13" s="39">
        <v>2</v>
      </c>
      <c r="B13" s="214" t="s">
        <v>32</v>
      </c>
      <c r="C13" s="215"/>
      <c r="D13" s="215"/>
      <c r="E13" s="215"/>
      <c r="F13" s="216"/>
      <c r="G13" s="9"/>
      <c r="H13" s="112"/>
      <c r="I13" s="47"/>
    </row>
    <row r="14" spans="1:9" ht="18.75" customHeight="1">
      <c r="A14" s="39" t="s">
        <v>123</v>
      </c>
      <c r="B14" s="15" t="s">
        <v>33</v>
      </c>
      <c r="C14" s="15"/>
      <c r="D14" s="15"/>
      <c r="E14" s="15"/>
      <c r="F14" s="5"/>
      <c r="G14" s="43"/>
      <c r="H14" s="113"/>
      <c r="I14" s="47"/>
    </row>
    <row r="15" spans="1:9" ht="29.25" customHeight="1">
      <c r="A15" s="44"/>
      <c r="B15" s="217" t="s">
        <v>138</v>
      </c>
      <c r="C15" s="205"/>
      <c r="D15" s="205"/>
      <c r="E15" s="63" t="s">
        <v>28</v>
      </c>
      <c r="F15" s="6" t="s">
        <v>22</v>
      </c>
      <c r="G15" s="102">
        <v>1.29</v>
      </c>
      <c r="H15" s="114">
        <v>1.37</v>
      </c>
      <c r="I15" s="47">
        <f>ROUND($E$4*G15*6,0)+ROUND($E$4*H15*6,0)</f>
        <v>88792</v>
      </c>
    </row>
    <row r="16" spans="1:10" ht="15.75" customHeight="1">
      <c r="A16" s="44"/>
      <c r="B16" s="205" t="s">
        <v>16</v>
      </c>
      <c r="C16" s="205"/>
      <c r="D16" s="205"/>
      <c r="E16" s="63" t="s">
        <v>28</v>
      </c>
      <c r="F16" s="6" t="s">
        <v>17</v>
      </c>
      <c r="G16" s="102">
        <v>0.3</v>
      </c>
      <c r="H16" s="114">
        <v>0.32</v>
      </c>
      <c r="I16" s="47">
        <f aca="true" t="shared" si="0" ref="I16:I35">ROUND($E$4*G16*6,0)+ROUND($E$4*H16*6,0)</f>
        <v>20696</v>
      </c>
      <c r="J16" s="24"/>
    </row>
    <row r="17" spans="1:9" ht="18.75" customHeight="1">
      <c r="A17" s="44"/>
      <c r="B17" s="204" t="s">
        <v>139</v>
      </c>
      <c r="C17" s="204"/>
      <c r="D17" s="204"/>
      <c r="E17" s="67" t="s">
        <v>65</v>
      </c>
      <c r="F17" s="7" t="s">
        <v>18</v>
      </c>
      <c r="G17" s="102">
        <v>0.06</v>
      </c>
      <c r="H17" s="114">
        <v>0.06</v>
      </c>
      <c r="I17" s="47">
        <f t="shared" si="0"/>
        <v>4006</v>
      </c>
    </row>
    <row r="18" spans="1:9" ht="15.75" customHeight="1">
      <c r="A18" s="44"/>
      <c r="B18" s="218" t="s">
        <v>27</v>
      </c>
      <c r="C18" s="218"/>
      <c r="D18" s="218"/>
      <c r="E18" s="69" t="s">
        <v>8</v>
      </c>
      <c r="F18" s="8" t="s">
        <v>9</v>
      </c>
      <c r="G18" s="102">
        <v>0.54</v>
      </c>
      <c r="H18" s="114">
        <v>0.58</v>
      </c>
      <c r="I18" s="47">
        <f t="shared" si="0"/>
        <v>37386</v>
      </c>
    </row>
    <row r="19" spans="1:9" ht="51" customHeight="1">
      <c r="A19" s="44"/>
      <c r="B19" s="204" t="s">
        <v>25</v>
      </c>
      <c r="C19" s="204"/>
      <c r="D19" s="204"/>
      <c r="E19" s="67" t="s">
        <v>66</v>
      </c>
      <c r="F19" s="7" t="s">
        <v>23</v>
      </c>
      <c r="G19" s="102">
        <v>0.13</v>
      </c>
      <c r="H19" s="114">
        <v>0.14</v>
      </c>
      <c r="I19" s="47">
        <f t="shared" si="0"/>
        <v>9012</v>
      </c>
    </row>
    <row r="20" spans="1:9" ht="37.5" customHeight="1">
      <c r="A20" s="44"/>
      <c r="B20" s="204" t="s">
        <v>10</v>
      </c>
      <c r="C20" s="204"/>
      <c r="D20" s="204"/>
      <c r="E20" s="67" t="s">
        <v>8</v>
      </c>
      <c r="F20" s="7" t="s">
        <v>11</v>
      </c>
      <c r="G20" s="102">
        <v>2.35</v>
      </c>
      <c r="H20" s="114">
        <v>2.5</v>
      </c>
      <c r="I20" s="47">
        <f t="shared" si="0"/>
        <v>161895</v>
      </c>
    </row>
    <row r="21" spans="1:9" ht="21" customHeight="1">
      <c r="A21" s="44"/>
      <c r="B21" s="204" t="s">
        <v>24</v>
      </c>
      <c r="C21" s="207"/>
      <c r="D21" s="207"/>
      <c r="E21" s="70" t="s">
        <v>12</v>
      </c>
      <c r="F21" s="9" t="s">
        <v>48</v>
      </c>
      <c r="G21" s="102">
        <v>0.05</v>
      </c>
      <c r="H21" s="114">
        <v>0.05</v>
      </c>
      <c r="I21" s="47">
        <f t="shared" si="0"/>
        <v>3338</v>
      </c>
    </row>
    <row r="22" spans="1:9" ht="51">
      <c r="A22" s="44"/>
      <c r="B22" s="204" t="s">
        <v>35</v>
      </c>
      <c r="C22" s="204"/>
      <c r="D22" s="204"/>
      <c r="E22" s="63" t="s">
        <v>126</v>
      </c>
      <c r="F22" s="7" t="s">
        <v>39</v>
      </c>
      <c r="G22" s="102">
        <v>1.63</v>
      </c>
      <c r="H22" s="114">
        <v>1.74</v>
      </c>
      <c r="I22" s="47">
        <f t="shared" si="0"/>
        <v>112492</v>
      </c>
    </row>
    <row r="23" spans="1:9" ht="55.5" customHeight="1">
      <c r="A23" s="44"/>
      <c r="B23" s="205" t="s">
        <v>14</v>
      </c>
      <c r="C23" s="205"/>
      <c r="D23" s="205"/>
      <c r="E23" s="63" t="s">
        <v>49</v>
      </c>
      <c r="F23" s="7" t="s">
        <v>39</v>
      </c>
      <c r="G23" s="102">
        <v>0.56</v>
      </c>
      <c r="H23" s="114">
        <v>0.6</v>
      </c>
      <c r="I23" s="47">
        <f t="shared" si="0"/>
        <v>38721</v>
      </c>
    </row>
    <row r="24" spans="1:9" ht="28.5" customHeight="1">
      <c r="A24" s="44"/>
      <c r="B24" s="204" t="s">
        <v>140</v>
      </c>
      <c r="C24" s="207"/>
      <c r="D24" s="207"/>
      <c r="E24" s="63" t="s">
        <v>29</v>
      </c>
      <c r="F24" s="7" t="s">
        <v>39</v>
      </c>
      <c r="G24" s="102">
        <f>4.38-G25-G26</f>
        <v>3.7600000000000002</v>
      </c>
      <c r="H24" s="11">
        <f>4.66-H25-H26</f>
        <v>4</v>
      </c>
      <c r="I24" s="47">
        <f t="shared" si="0"/>
        <v>259032</v>
      </c>
    </row>
    <row r="25" spans="1:9" ht="15.75" customHeight="1">
      <c r="A25" s="44"/>
      <c r="B25" s="204" t="s">
        <v>89</v>
      </c>
      <c r="C25" s="204"/>
      <c r="D25" s="204"/>
      <c r="E25" s="67" t="s">
        <v>8</v>
      </c>
      <c r="F25" s="7" t="s">
        <v>39</v>
      </c>
      <c r="G25" s="102">
        <v>0.31</v>
      </c>
      <c r="H25" s="114">
        <v>0.33</v>
      </c>
      <c r="I25" s="47">
        <f t="shared" si="0"/>
        <v>21364</v>
      </c>
    </row>
    <row r="26" spans="1:9" ht="21.75" customHeight="1">
      <c r="A26" s="44"/>
      <c r="B26" s="204" t="s">
        <v>68</v>
      </c>
      <c r="C26" s="204"/>
      <c r="D26" s="204"/>
      <c r="E26" s="67" t="s">
        <v>8</v>
      </c>
      <c r="F26" s="7" t="s">
        <v>39</v>
      </c>
      <c r="G26" s="102">
        <v>0.31</v>
      </c>
      <c r="H26" s="114">
        <v>0.33</v>
      </c>
      <c r="I26" s="47">
        <f t="shared" si="0"/>
        <v>21364</v>
      </c>
    </row>
    <row r="27" spans="1:9" ht="29.25" customHeight="1">
      <c r="A27" s="44"/>
      <c r="B27" s="207" t="s">
        <v>141</v>
      </c>
      <c r="C27" s="207"/>
      <c r="D27" s="207"/>
      <c r="E27" s="63" t="s">
        <v>29</v>
      </c>
      <c r="F27" s="7" t="s">
        <v>39</v>
      </c>
      <c r="G27" s="102">
        <v>1.54</v>
      </c>
      <c r="H27" s="114">
        <v>1.64</v>
      </c>
      <c r="I27" s="47">
        <f t="shared" si="0"/>
        <v>106150</v>
      </c>
    </row>
    <row r="28" spans="1:9" ht="15.75" customHeight="1" hidden="1">
      <c r="A28" s="18"/>
      <c r="B28" s="208" t="s">
        <v>69</v>
      </c>
      <c r="C28" s="209"/>
      <c r="D28" s="210"/>
      <c r="E28" s="67" t="s">
        <v>8</v>
      </c>
      <c r="F28" s="7"/>
      <c r="G28" s="102"/>
      <c r="H28" s="114"/>
      <c r="I28" s="47">
        <f t="shared" si="0"/>
        <v>0</v>
      </c>
    </row>
    <row r="29" spans="1:9" ht="31.5" customHeight="1" hidden="1">
      <c r="A29" s="18"/>
      <c r="B29" s="208" t="s">
        <v>70</v>
      </c>
      <c r="C29" s="209"/>
      <c r="D29" s="210"/>
      <c r="E29" s="63" t="s">
        <v>29</v>
      </c>
      <c r="F29" s="7"/>
      <c r="G29" s="102"/>
      <c r="H29" s="114"/>
      <c r="I29" s="47">
        <f t="shared" si="0"/>
        <v>0</v>
      </c>
    </row>
    <row r="30" spans="1:9" ht="15.75" customHeight="1" hidden="1">
      <c r="A30" s="44"/>
      <c r="B30" s="211"/>
      <c r="C30" s="212"/>
      <c r="D30" s="213"/>
      <c r="E30" s="63"/>
      <c r="F30" s="7"/>
      <c r="G30" s="103"/>
      <c r="H30" s="114"/>
      <c r="I30" s="47">
        <f t="shared" si="0"/>
        <v>0</v>
      </c>
    </row>
    <row r="31" spans="1:9" ht="15.75" hidden="1">
      <c r="A31" s="44"/>
      <c r="B31" s="211"/>
      <c r="C31" s="212"/>
      <c r="D31" s="213"/>
      <c r="E31" s="63"/>
      <c r="F31" s="7"/>
      <c r="G31" s="104"/>
      <c r="H31" s="114"/>
      <c r="I31" s="47">
        <f t="shared" si="0"/>
        <v>0</v>
      </c>
    </row>
    <row r="32" spans="1:9" ht="15.75" customHeight="1">
      <c r="A32" s="44"/>
      <c r="B32" s="180" t="s">
        <v>26</v>
      </c>
      <c r="C32" s="181"/>
      <c r="D32" s="182"/>
      <c r="E32" s="12"/>
      <c r="F32" s="7"/>
      <c r="G32" s="103">
        <f>SUM(G15:G31)</f>
        <v>12.830000000000002</v>
      </c>
      <c r="H32" s="16">
        <f>SUM(H15:H31)</f>
        <v>13.66</v>
      </c>
      <c r="I32" s="47">
        <f t="shared" si="0"/>
        <v>884247</v>
      </c>
    </row>
    <row r="33" spans="1:9" ht="21" customHeight="1">
      <c r="A33" s="39" t="s">
        <v>124</v>
      </c>
      <c r="B33" s="177" t="s">
        <v>113</v>
      </c>
      <c r="C33" s="178"/>
      <c r="D33" s="178"/>
      <c r="E33" s="115" t="s">
        <v>121</v>
      </c>
      <c r="F33" s="35" t="s">
        <v>50</v>
      </c>
      <c r="G33" s="104">
        <v>1.54</v>
      </c>
      <c r="H33" s="19">
        <v>1.64</v>
      </c>
      <c r="I33" s="47">
        <f t="shared" si="0"/>
        <v>106150</v>
      </c>
    </row>
    <row r="34" spans="1:9" ht="15.75" customHeight="1">
      <c r="A34" s="39" t="s">
        <v>125</v>
      </c>
      <c r="B34" s="196" t="s">
        <v>90</v>
      </c>
      <c r="C34" s="196"/>
      <c r="D34" s="196"/>
      <c r="E34" s="196"/>
      <c r="F34" s="196"/>
      <c r="G34" s="103">
        <f>SUM(G32:G33)</f>
        <v>14.370000000000001</v>
      </c>
      <c r="H34" s="16">
        <f>SUM(H32:H33)</f>
        <v>15.3</v>
      </c>
      <c r="I34" s="47">
        <f t="shared" si="0"/>
        <v>990396</v>
      </c>
    </row>
    <row r="35" spans="1:9" ht="24" customHeight="1" thickBot="1">
      <c r="A35" s="87" t="s">
        <v>43</v>
      </c>
      <c r="B35" s="197" t="s">
        <v>142</v>
      </c>
      <c r="C35" s="198"/>
      <c r="D35" s="199"/>
      <c r="E35" s="116" t="s">
        <v>121</v>
      </c>
      <c r="F35" s="117" t="s">
        <v>50</v>
      </c>
      <c r="G35" s="105">
        <v>0.8</v>
      </c>
      <c r="H35" s="118">
        <v>0.85</v>
      </c>
      <c r="I35" s="101">
        <f t="shared" si="0"/>
        <v>55077</v>
      </c>
    </row>
    <row r="36" spans="2:9" ht="59.25" customHeight="1">
      <c r="B36" s="206" t="s">
        <v>143</v>
      </c>
      <c r="C36" s="206"/>
      <c r="D36" s="206"/>
      <c r="E36" s="206"/>
      <c r="G36" s="50"/>
      <c r="H36" s="50"/>
      <c r="I36" s="51"/>
    </row>
    <row r="37" spans="2:9" ht="24.75" customHeight="1">
      <c r="B37" s="119"/>
      <c r="C37" s="119"/>
      <c r="D37" s="119"/>
      <c r="E37" s="119"/>
      <c r="G37" s="50"/>
      <c r="H37" s="50"/>
      <c r="I37" s="51"/>
    </row>
    <row r="38" spans="1:9" ht="15.75" customHeight="1">
      <c r="A38" s="30" t="s">
        <v>144</v>
      </c>
      <c r="B38" s="30"/>
      <c r="C38" s="30"/>
      <c r="D38" s="26"/>
      <c r="G38" s="50"/>
      <c r="H38" s="50"/>
      <c r="I38" s="51"/>
    </row>
  </sheetData>
  <sheetProtection/>
  <mergeCells count="29">
    <mergeCell ref="B11:F11"/>
    <mergeCell ref="B12:F12"/>
    <mergeCell ref="A1:I1"/>
    <mergeCell ref="B8:D8"/>
    <mergeCell ref="B9:D9"/>
    <mergeCell ref="B10:F10"/>
    <mergeCell ref="B18:D18"/>
    <mergeCell ref="B19:D19"/>
    <mergeCell ref="B20:D20"/>
    <mergeCell ref="B21:D21"/>
    <mergeCell ref="B13:F13"/>
    <mergeCell ref="B15:D15"/>
    <mergeCell ref="B16:D16"/>
    <mergeCell ref="B17:D17"/>
    <mergeCell ref="B36:E36"/>
    <mergeCell ref="B26:D26"/>
    <mergeCell ref="B27:D27"/>
    <mergeCell ref="B28:D28"/>
    <mergeCell ref="B29:D29"/>
    <mergeCell ref="B30:D30"/>
    <mergeCell ref="B31:D31"/>
    <mergeCell ref="B32:D32"/>
    <mergeCell ref="B33:D33"/>
    <mergeCell ref="B34:F34"/>
    <mergeCell ref="B35:D35"/>
    <mergeCell ref="B22:D22"/>
    <mergeCell ref="B23:D23"/>
    <mergeCell ref="B24:D24"/>
    <mergeCell ref="B25:D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workbookViewId="0" topLeftCell="A7">
      <selection activeCell="F7" sqref="F1:F16384"/>
    </sheetView>
  </sheetViews>
  <sheetFormatPr defaultColWidth="9.00390625" defaultRowHeight="15.75"/>
  <cols>
    <col min="1" max="1" width="5.25390625" style="0" customWidth="1"/>
    <col min="2" max="2" width="25.125" style="0" customWidth="1"/>
    <col min="3" max="3" width="3.75390625" style="0" customWidth="1"/>
    <col min="4" max="4" width="24.875" style="0" customWidth="1"/>
    <col min="5" max="5" width="18.625" style="0" customWidth="1"/>
    <col min="6" max="6" width="18.00390625" style="0" hidden="1" customWidth="1"/>
    <col min="7" max="7" width="9.25390625" style="0" customWidth="1"/>
    <col min="8" max="8" width="11.625" style="0" customWidth="1"/>
    <col min="9" max="9" width="12.00390625" style="0" customWidth="1"/>
    <col min="10" max="10" width="33.25390625" style="0" customWidth="1"/>
    <col min="11" max="12" width="9.00390625" style="0" hidden="1" customWidth="1"/>
  </cols>
  <sheetData>
    <row r="1" spans="1:10" ht="111" customHeigh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54" customHeight="1">
      <c r="A2" s="158" t="s">
        <v>146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9" ht="31.5">
      <c r="A3" s="1" t="s">
        <v>36</v>
      </c>
      <c r="B3" s="1" t="s">
        <v>40</v>
      </c>
      <c r="C3" s="2"/>
      <c r="D3" s="110" t="s">
        <v>133</v>
      </c>
      <c r="E3" s="4">
        <v>5563.4</v>
      </c>
      <c r="F3" s="2"/>
      <c r="I3" s="52"/>
    </row>
    <row r="4" spans="2:6" ht="15.75">
      <c r="B4" s="3" t="s">
        <v>1</v>
      </c>
      <c r="C4" s="82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15</v>
      </c>
      <c r="F6" s="2"/>
      <c r="G6" s="2"/>
    </row>
    <row r="7" spans="1:12" ht="46.5" customHeight="1">
      <c r="A7" s="17" t="s">
        <v>31</v>
      </c>
      <c r="B7" s="159" t="s">
        <v>53</v>
      </c>
      <c r="C7" s="160"/>
      <c r="D7" s="161"/>
      <c r="E7" s="10" t="s">
        <v>6</v>
      </c>
      <c r="F7" s="10" t="s">
        <v>7</v>
      </c>
      <c r="G7" s="120" t="s">
        <v>147</v>
      </c>
      <c r="H7" s="162" t="s">
        <v>148</v>
      </c>
      <c r="I7" s="163"/>
      <c r="J7" s="164"/>
      <c r="K7" s="36">
        <v>4</v>
      </c>
      <c r="L7" s="121" t="s">
        <v>149</v>
      </c>
    </row>
    <row r="8" spans="1:10" ht="15.75">
      <c r="A8" s="18">
        <v>1</v>
      </c>
      <c r="B8" s="165"/>
      <c r="C8" s="166"/>
      <c r="D8" s="166"/>
      <c r="E8" s="166"/>
      <c r="F8" s="167"/>
      <c r="G8" s="122"/>
      <c r="H8" s="123" t="s">
        <v>55</v>
      </c>
      <c r="I8" s="56" t="s">
        <v>56</v>
      </c>
      <c r="J8" s="56" t="s">
        <v>57</v>
      </c>
    </row>
    <row r="9" spans="1:10" ht="15.75">
      <c r="A9" s="18"/>
      <c r="B9" s="165" t="s">
        <v>58</v>
      </c>
      <c r="C9" s="166"/>
      <c r="D9" s="166"/>
      <c r="E9" s="166"/>
      <c r="F9" s="167"/>
      <c r="G9" s="37"/>
      <c r="H9" s="37"/>
      <c r="I9" s="37"/>
      <c r="J9" s="56"/>
    </row>
    <row r="10" spans="1:10" ht="15.75">
      <c r="A10" s="57"/>
      <c r="B10" s="168" t="s">
        <v>59</v>
      </c>
      <c r="C10" s="168"/>
      <c r="D10" s="168"/>
      <c r="E10" s="168"/>
      <c r="F10" s="168"/>
      <c r="G10" s="13"/>
      <c r="H10" s="58">
        <v>358219.37</v>
      </c>
      <c r="I10" s="40"/>
      <c r="J10" s="59">
        <f>H10+I10</f>
        <v>358219.37</v>
      </c>
    </row>
    <row r="11" spans="1:10" ht="15.75">
      <c r="A11" s="57"/>
      <c r="B11" s="168" t="s">
        <v>60</v>
      </c>
      <c r="C11" s="168"/>
      <c r="D11" s="168"/>
      <c r="E11" s="168"/>
      <c r="F11" s="168"/>
      <c r="G11" s="13"/>
      <c r="H11" s="14">
        <v>14073.85</v>
      </c>
      <c r="I11" s="40"/>
      <c r="J11" s="59">
        <f>H11+I11</f>
        <v>14073.85</v>
      </c>
    </row>
    <row r="12" spans="1:10" ht="15.75">
      <c r="A12" s="18"/>
      <c r="B12" s="168" t="s">
        <v>61</v>
      </c>
      <c r="C12" s="168"/>
      <c r="D12" s="168"/>
      <c r="E12" s="168"/>
      <c r="F12" s="168"/>
      <c r="G12" s="13"/>
      <c r="H12" s="58"/>
      <c r="I12" s="40">
        <v>0</v>
      </c>
      <c r="J12" s="59">
        <f>H12+I12</f>
        <v>0</v>
      </c>
    </row>
    <row r="13" spans="1:10" ht="15.75">
      <c r="A13" s="18"/>
      <c r="B13" s="168" t="s">
        <v>150</v>
      </c>
      <c r="C13" s="168"/>
      <c r="D13" s="168"/>
      <c r="E13" s="168"/>
      <c r="F13" s="168"/>
      <c r="G13" s="13"/>
      <c r="H13" s="58">
        <v>0</v>
      </c>
      <c r="I13" s="60">
        <v>0</v>
      </c>
      <c r="J13" s="59">
        <f>H13+I13</f>
        <v>0</v>
      </c>
    </row>
    <row r="14" spans="1:10" ht="15.75">
      <c r="A14" s="18"/>
      <c r="B14" s="155" t="s">
        <v>63</v>
      </c>
      <c r="C14" s="155"/>
      <c r="D14" s="155"/>
      <c r="E14" s="155"/>
      <c r="F14" s="155"/>
      <c r="G14" s="13"/>
      <c r="H14" s="61">
        <f>SUM(H10:H12)</f>
        <v>372293.22</v>
      </c>
      <c r="I14" s="62">
        <f>SUM(I10:I12)</f>
        <v>0</v>
      </c>
      <c r="J14" s="61">
        <f>SUM(J10:J13)</f>
        <v>372293.22</v>
      </c>
    </row>
    <row r="15" spans="1:10" ht="18.75">
      <c r="A15" s="18">
        <v>2</v>
      </c>
      <c r="B15" s="219" t="s">
        <v>32</v>
      </c>
      <c r="C15" s="219"/>
      <c r="D15" s="219"/>
      <c r="E15" s="219"/>
      <c r="F15" s="219"/>
      <c r="G15" s="13"/>
      <c r="H15" s="58"/>
      <c r="I15" s="40"/>
      <c r="J15" s="27"/>
    </row>
    <row r="16" spans="1:10" ht="15.75">
      <c r="A16" s="18" t="s">
        <v>64</v>
      </c>
      <c r="B16" s="125" t="s">
        <v>33</v>
      </c>
      <c r="C16" s="125"/>
      <c r="D16" s="125"/>
      <c r="E16" s="125"/>
      <c r="F16" s="77"/>
      <c r="G16" s="123"/>
      <c r="H16" s="123"/>
      <c r="I16" s="53"/>
      <c r="J16" s="56"/>
    </row>
    <row r="17" spans="1:10" ht="33" customHeight="1">
      <c r="A17" s="21"/>
      <c r="B17" s="170" t="s">
        <v>151</v>
      </c>
      <c r="C17" s="170"/>
      <c r="D17" s="170"/>
      <c r="E17" s="63" t="s">
        <v>28</v>
      </c>
      <c r="F17" s="45" t="s">
        <v>22</v>
      </c>
      <c r="G17" s="102">
        <v>1.29</v>
      </c>
      <c r="H17" s="64">
        <f>ROUND($E$3*G17*$K$7,2)</f>
        <v>28707.14</v>
      </c>
      <c r="I17" s="65"/>
      <c r="J17" s="66">
        <f>SUM(H17:I17)</f>
        <v>28707.14</v>
      </c>
    </row>
    <row r="18" spans="1:10" ht="17.25" customHeight="1">
      <c r="A18" s="18"/>
      <c r="B18" s="171" t="s">
        <v>16</v>
      </c>
      <c r="C18" s="171"/>
      <c r="D18" s="171"/>
      <c r="E18" s="63" t="s">
        <v>28</v>
      </c>
      <c r="F18" s="45" t="s">
        <v>17</v>
      </c>
      <c r="G18" s="102">
        <v>0.3</v>
      </c>
      <c r="H18" s="64">
        <f>ROUND($E$3*G18*$K$7,2)</f>
        <v>6676.08</v>
      </c>
      <c r="I18" s="65"/>
      <c r="J18" s="66">
        <f>SUM(H18:I18)</f>
        <v>6676.08</v>
      </c>
    </row>
    <row r="19" spans="1:10" ht="20.25" customHeight="1">
      <c r="A19" s="18"/>
      <c r="B19" s="172" t="s">
        <v>21</v>
      </c>
      <c r="C19" s="172"/>
      <c r="D19" s="172"/>
      <c r="E19" s="67" t="s">
        <v>65</v>
      </c>
      <c r="F19" s="48" t="s">
        <v>18</v>
      </c>
      <c r="G19" s="102">
        <v>1.05</v>
      </c>
      <c r="H19" s="64">
        <f>J19-I19</f>
        <v>262.68</v>
      </c>
      <c r="I19" s="65"/>
      <c r="J19" s="68">
        <v>262.68</v>
      </c>
    </row>
    <row r="20" spans="1:10" ht="20.25" customHeight="1">
      <c r="A20" s="21"/>
      <c r="B20" s="170" t="s">
        <v>27</v>
      </c>
      <c r="C20" s="170"/>
      <c r="D20" s="170"/>
      <c r="E20" s="69" t="s">
        <v>8</v>
      </c>
      <c r="F20" s="49" t="s">
        <v>9</v>
      </c>
      <c r="G20" s="102">
        <v>0.54</v>
      </c>
      <c r="H20" s="64">
        <f>ROUND($E$3*G20*$K$7,2)</f>
        <v>12016.94</v>
      </c>
      <c r="I20" s="65"/>
      <c r="J20" s="66">
        <f>SUM(H20:I20)</f>
        <v>12016.94</v>
      </c>
    </row>
    <row r="21" spans="1:10" ht="53.25" customHeight="1">
      <c r="A21" s="18"/>
      <c r="B21" s="172" t="s">
        <v>25</v>
      </c>
      <c r="C21" s="172"/>
      <c r="D21" s="172"/>
      <c r="E21" s="67" t="s">
        <v>66</v>
      </c>
      <c r="F21" s="48" t="s">
        <v>23</v>
      </c>
      <c r="G21" s="102">
        <v>0.13</v>
      </c>
      <c r="H21" s="64">
        <f>J21-I21</f>
        <v>720</v>
      </c>
      <c r="I21" s="65"/>
      <c r="J21" s="68">
        <v>720</v>
      </c>
    </row>
    <row r="22" spans="1:10" ht="20.25" customHeight="1">
      <c r="A22" s="21"/>
      <c r="B22" s="172" t="s">
        <v>10</v>
      </c>
      <c r="C22" s="172"/>
      <c r="D22" s="172"/>
      <c r="E22" s="67" t="s">
        <v>8</v>
      </c>
      <c r="F22" s="48" t="s">
        <v>11</v>
      </c>
      <c r="G22" s="102">
        <v>2.35</v>
      </c>
      <c r="H22" s="64">
        <f>ROUND($E$3*G22*$K$7,2)</f>
        <v>52295.96</v>
      </c>
      <c r="I22" s="65"/>
      <c r="J22" s="68">
        <f>H22</f>
        <v>52295.96</v>
      </c>
    </row>
    <row r="23" spans="1:10" ht="20.25" customHeight="1">
      <c r="A23" s="21"/>
      <c r="B23" s="172" t="s">
        <v>24</v>
      </c>
      <c r="C23" s="173"/>
      <c r="D23" s="173"/>
      <c r="E23" s="70" t="s">
        <v>12</v>
      </c>
      <c r="F23" s="42" t="s">
        <v>13</v>
      </c>
      <c r="G23" s="102">
        <v>0.05</v>
      </c>
      <c r="H23" s="64">
        <f>J23-I23</f>
        <v>977.4</v>
      </c>
      <c r="I23" s="65"/>
      <c r="J23" s="68">
        <v>977.4</v>
      </c>
    </row>
    <row r="24" spans="1:10" ht="51.75" customHeight="1">
      <c r="A24" s="18"/>
      <c r="B24" s="172" t="s">
        <v>35</v>
      </c>
      <c r="C24" s="172"/>
      <c r="D24" s="172"/>
      <c r="E24" s="63" t="s">
        <v>126</v>
      </c>
      <c r="F24" s="32" t="s">
        <v>39</v>
      </c>
      <c r="G24" s="102">
        <v>1.63</v>
      </c>
      <c r="H24" s="64">
        <f aca="true" t="shared" si="0" ref="H24:H29">ROUND($E$3*G24*$K$7,2)</f>
        <v>36273.37</v>
      </c>
      <c r="I24" s="65"/>
      <c r="J24" s="66">
        <f aca="true" t="shared" si="1" ref="J24:J29">SUM(H24:I24)</f>
        <v>36273.37</v>
      </c>
    </row>
    <row r="25" spans="1:10" ht="53.25" customHeight="1">
      <c r="A25" s="18"/>
      <c r="B25" s="171" t="s">
        <v>14</v>
      </c>
      <c r="C25" s="171"/>
      <c r="D25" s="171"/>
      <c r="E25" s="63" t="s">
        <v>49</v>
      </c>
      <c r="F25" s="32" t="s">
        <v>39</v>
      </c>
      <c r="G25" s="102">
        <v>0.56</v>
      </c>
      <c r="H25" s="64">
        <f>J25-I25</f>
        <v>12448.12</v>
      </c>
      <c r="I25" s="65"/>
      <c r="J25" s="66">
        <v>12448.12</v>
      </c>
    </row>
    <row r="26" spans="1:10" ht="30" customHeight="1">
      <c r="A26" s="18"/>
      <c r="B26" s="151" t="s">
        <v>30</v>
      </c>
      <c r="C26" s="149"/>
      <c r="D26" s="124"/>
      <c r="E26" s="63" t="s">
        <v>29</v>
      </c>
      <c r="F26" s="32" t="s">
        <v>39</v>
      </c>
      <c r="G26" s="102">
        <f>4.38-G27-G28</f>
        <v>3.7600000000000002</v>
      </c>
      <c r="H26" s="64">
        <f t="shared" si="0"/>
        <v>83673.54</v>
      </c>
      <c r="I26" s="72"/>
      <c r="J26" s="66">
        <f t="shared" si="1"/>
        <v>83673.54</v>
      </c>
    </row>
    <row r="27" spans="1:10" ht="26.25" customHeight="1">
      <c r="A27" s="21"/>
      <c r="B27" s="172" t="s">
        <v>67</v>
      </c>
      <c r="C27" s="172"/>
      <c r="D27" s="172"/>
      <c r="E27" s="67" t="s">
        <v>8</v>
      </c>
      <c r="F27" s="32" t="s">
        <v>39</v>
      </c>
      <c r="G27" s="102">
        <v>0.31</v>
      </c>
      <c r="H27" s="64">
        <f t="shared" si="0"/>
        <v>6898.62</v>
      </c>
      <c r="I27" s="72"/>
      <c r="J27" s="66">
        <f t="shared" si="1"/>
        <v>6898.62</v>
      </c>
    </row>
    <row r="28" spans="1:10" ht="17.25" customHeight="1">
      <c r="A28" s="18"/>
      <c r="B28" s="172" t="s">
        <v>68</v>
      </c>
      <c r="C28" s="172"/>
      <c r="D28" s="172"/>
      <c r="E28" s="67" t="s">
        <v>8</v>
      </c>
      <c r="F28" s="32" t="s">
        <v>39</v>
      </c>
      <c r="G28" s="102">
        <v>0.31</v>
      </c>
      <c r="H28" s="64">
        <f t="shared" si="0"/>
        <v>6898.62</v>
      </c>
      <c r="I28" s="72"/>
      <c r="J28" s="66">
        <f t="shared" si="1"/>
        <v>6898.62</v>
      </c>
    </row>
    <row r="29" spans="1:10" ht="29.25" customHeight="1">
      <c r="A29" s="18"/>
      <c r="B29" s="173" t="s">
        <v>19</v>
      </c>
      <c r="C29" s="173"/>
      <c r="D29" s="173"/>
      <c r="E29" s="63" t="s">
        <v>29</v>
      </c>
      <c r="F29" s="32" t="s">
        <v>39</v>
      </c>
      <c r="G29" s="102">
        <v>1.54</v>
      </c>
      <c r="H29" s="64">
        <f t="shared" si="0"/>
        <v>34270.54</v>
      </c>
      <c r="I29" s="65"/>
      <c r="J29" s="66">
        <f t="shared" si="1"/>
        <v>34270.54</v>
      </c>
    </row>
    <row r="30" spans="1:10" ht="15.75">
      <c r="A30" s="18"/>
      <c r="B30" s="175"/>
      <c r="C30" s="149"/>
      <c r="D30" s="124"/>
      <c r="E30" s="115"/>
      <c r="F30" s="32"/>
      <c r="G30" s="42"/>
      <c r="H30" s="71"/>
      <c r="I30" s="60"/>
      <c r="J30" s="73"/>
    </row>
    <row r="31" spans="1:10" ht="15.75">
      <c r="A31" s="18"/>
      <c r="B31" s="220" t="s">
        <v>26</v>
      </c>
      <c r="C31" s="220"/>
      <c r="D31" s="220"/>
      <c r="E31" s="18"/>
      <c r="F31" s="32"/>
      <c r="G31" s="19">
        <f>SUM(G17:G29)</f>
        <v>13.82</v>
      </c>
      <c r="H31" s="81">
        <f>SUM(H17:H30)</f>
        <v>282119.00999999995</v>
      </c>
      <c r="I31" s="62"/>
      <c r="J31" s="81">
        <f>SUM(J17:J30)</f>
        <v>282119.00999999995</v>
      </c>
    </row>
    <row r="32" spans="1:10" ht="15.75" hidden="1">
      <c r="A32" s="18"/>
      <c r="B32" s="183" t="s">
        <v>69</v>
      </c>
      <c r="C32" s="184"/>
      <c r="D32" s="185"/>
      <c r="E32" s="115" t="s">
        <v>8</v>
      </c>
      <c r="F32" s="32"/>
      <c r="G32" s="42"/>
      <c r="H32" s="71"/>
      <c r="I32" s="60"/>
      <c r="J32" s="73"/>
    </row>
    <row r="33" spans="1:10" ht="25.5" hidden="1">
      <c r="A33" s="18"/>
      <c r="B33" s="183" t="s">
        <v>70</v>
      </c>
      <c r="C33" s="184"/>
      <c r="D33" s="185"/>
      <c r="E33" s="126" t="s">
        <v>29</v>
      </c>
      <c r="F33" s="32"/>
      <c r="G33" s="42"/>
      <c r="H33" s="71"/>
      <c r="I33" s="60"/>
      <c r="J33" s="73"/>
    </row>
    <row r="34" spans="1:10" ht="15.75" hidden="1">
      <c r="A34" s="18"/>
      <c r="B34" s="175"/>
      <c r="C34" s="149"/>
      <c r="D34" s="124"/>
      <c r="E34" s="115"/>
      <c r="F34" s="32"/>
      <c r="G34" s="42"/>
      <c r="H34" s="71"/>
      <c r="I34" s="60"/>
      <c r="J34" s="73"/>
    </row>
    <row r="35" spans="1:10" ht="15" customHeight="1">
      <c r="A35" s="18" t="s">
        <v>71</v>
      </c>
      <c r="B35" s="177" t="s">
        <v>72</v>
      </c>
      <c r="C35" s="178"/>
      <c r="D35" s="178"/>
      <c r="E35" s="179"/>
      <c r="F35" s="32" t="s">
        <v>39</v>
      </c>
      <c r="G35" s="19">
        <f>H35/E3/$K$7</f>
        <v>5.616358701513463</v>
      </c>
      <c r="H35" s="127">
        <v>124984.2</v>
      </c>
      <c r="I35" s="75"/>
      <c r="J35" s="61">
        <f>SUM(H35:I35)</f>
        <v>124984.2</v>
      </c>
    </row>
    <row r="36" spans="1:10" ht="14.25" customHeight="1">
      <c r="A36" s="20"/>
      <c r="B36" s="176" t="s">
        <v>34</v>
      </c>
      <c r="C36" s="176"/>
      <c r="D36" s="176"/>
      <c r="E36" s="176"/>
      <c r="F36" s="176"/>
      <c r="G36" s="19">
        <f>SUM(G31:G35)</f>
        <v>19.436358701513463</v>
      </c>
      <c r="H36" s="128">
        <f>SUM(H31:H35)</f>
        <v>407103.20999999996</v>
      </c>
      <c r="I36" s="129"/>
      <c r="J36" s="128">
        <f>SUM(J31:J35)</f>
        <v>407103.20999999996</v>
      </c>
    </row>
    <row r="37" spans="1:10" ht="15.75">
      <c r="A37" s="18" t="s">
        <v>73</v>
      </c>
      <c r="B37" s="176" t="s">
        <v>74</v>
      </c>
      <c r="C37" s="176"/>
      <c r="D37" s="176"/>
      <c r="E37" s="176"/>
      <c r="F37" s="176"/>
      <c r="G37" s="19">
        <f>H37/E3/$K$7</f>
        <v>0</v>
      </c>
      <c r="H37" s="78">
        <v>0</v>
      </c>
      <c r="I37" s="78"/>
      <c r="J37" s="79">
        <f>SUM(H37:I37)</f>
        <v>0</v>
      </c>
    </row>
    <row r="38" spans="1:10" ht="24.75" customHeight="1">
      <c r="A38" s="20"/>
      <c r="B38" s="176" t="s">
        <v>75</v>
      </c>
      <c r="C38" s="176"/>
      <c r="D38" s="176"/>
      <c r="E38" s="176"/>
      <c r="F38" s="176"/>
      <c r="G38" s="19">
        <f>SUM(G36:G37)</f>
        <v>19.436358701513463</v>
      </c>
      <c r="H38" s="128">
        <f>SUM(H36:H37)</f>
        <v>407103.20999999996</v>
      </c>
      <c r="I38" s="129"/>
      <c r="J38" s="128">
        <f>SUM(J36:J37)</f>
        <v>407103.20999999996</v>
      </c>
    </row>
    <row r="39" spans="1:10" ht="27" customHeight="1">
      <c r="A39" s="18">
        <v>3</v>
      </c>
      <c r="B39" s="152" t="s">
        <v>152</v>
      </c>
      <c r="C39" s="153"/>
      <c r="D39" s="153"/>
      <c r="E39" s="153"/>
      <c r="F39" s="153"/>
      <c r="G39" s="109"/>
      <c r="H39" s="64">
        <f>H14-H38</f>
        <v>-34809.98999999999</v>
      </c>
      <c r="I39" s="64"/>
      <c r="J39" s="62">
        <f>J14-J38</f>
        <v>-34809.98999999999</v>
      </c>
    </row>
    <row r="40" spans="2:6" ht="15.75">
      <c r="B40" s="26"/>
      <c r="F40" s="26"/>
    </row>
    <row r="41" spans="2:9" ht="36" customHeight="1">
      <c r="B41" s="221" t="s">
        <v>153</v>
      </c>
      <c r="C41" s="221"/>
      <c r="D41" s="221"/>
      <c r="E41" s="221"/>
      <c r="F41" s="221"/>
      <c r="G41" s="221"/>
      <c r="H41" s="221"/>
      <c r="I41" s="221"/>
    </row>
    <row r="42" spans="2:4" ht="25.5" customHeight="1">
      <c r="B42" s="26"/>
      <c r="C42" s="26"/>
      <c r="D42" s="26"/>
    </row>
    <row r="43" spans="2:4" ht="15.75">
      <c r="B43" s="130" t="s">
        <v>38</v>
      </c>
      <c r="C43" s="130"/>
      <c r="D43" s="130"/>
    </row>
    <row r="44" spans="2:4" ht="15.75">
      <c r="B44" s="33" t="s">
        <v>154</v>
      </c>
      <c r="C44" s="33"/>
      <c r="D44" s="130"/>
    </row>
    <row r="45" spans="2:4" ht="15.75" customHeight="1">
      <c r="B45" s="150" t="s">
        <v>155</v>
      </c>
      <c r="C45" s="150"/>
      <c r="D45" s="150"/>
    </row>
    <row r="47" ht="15.75">
      <c r="B47" t="s">
        <v>156</v>
      </c>
    </row>
    <row r="48" ht="15.75">
      <c r="J48" s="50"/>
    </row>
    <row r="49" ht="15.75">
      <c r="J49" s="50"/>
    </row>
    <row r="50" ht="15.75">
      <c r="J50" s="50"/>
    </row>
    <row r="51" ht="15.75">
      <c r="J51" s="50"/>
    </row>
    <row r="52" ht="15.75">
      <c r="J52" s="50"/>
    </row>
    <row r="53" ht="15.75">
      <c r="J53" s="50"/>
    </row>
    <row r="54" ht="15.75">
      <c r="J54" s="50"/>
    </row>
    <row r="55" ht="15.75">
      <c r="J55" s="50"/>
    </row>
    <row r="56" ht="15.75">
      <c r="J56" s="50"/>
    </row>
    <row r="57" ht="15.75">
      <c r="J57" s="50"/>
    </row>
    <row r="58" ht="15.75">
      <c r="J58" s="50"/>
    </row>
    <row r="59" ht="15.75">
      <c r="J59" s="50"/>
    </row>
    <row r="60" ht="15.75">
      <c r="J60" s="50"/>
    </row>
    <row r="61" ht="15.75">
      <c r="J61" s="50"/>
    </row>
    <row r="62" ht="15.75">
      <c r="J62" s="50"/>
    </row>
    <row r="63" ht="15.75">
      <c r="J63" s="50"/>
    </row>
    <row r="64" ht="15.75">
      <c r="J64" s="50"/>
    </row>
    <row r="65" ht="15.75">
      <c r="J65" s="50"/>
    </row>
    <row r="66" ht="15.75">
      <c r="J66" s="50"/>
    </row>
    <row r="67" ht="15.75">
      <c r="J67" s="50"/>
    </row>
    <row r="68" ht="15.75">
      <c r="J68" s="50"/>
    </row>
    <row r="69" ht="15.75">
      <c r="J69" s="50"/>
    </row>
    <row r="70" ht="15.75">
      <c r="J70" s="50"/>
    </row>
    <row r="71" ht="15.75">
      <c r="J71" s="50"/>
    </row>
    <row r="72" ht="15.75">
      <c r="J72" s="50"/>
    </row>
    <row r="73" ht="15.75">
      <c r="J73" s="50"/>
    </row>
    <row r="74" ht="15.75">
      <c r="J74" s="50"/>
    </row>
    <row r="75" ht="15.75">
      <c r="J75" s="50"/>
    </row>
    <row r="76" ht="15.75">
      <c r="J76" s="50"/>
    </row>
    <row r="77" ht="15.75">
      <c r="J77" s="50"/>
    </row>
    <row r="78" ht="15.75">
      <c r="J78" s="50"/>
    </row>
    <row r="79" ht="15.75">
      <c r="J79" s="50"/>
    </row>
    <row r="80" ht="15.75">
      <c r="J80" s="50"/>
    </row>
    <row r="81" ht="15.75">
      <c r="J81" s="50"/>
    </row>
    <row r="82" ht="15.75">
      <c r="J82" s="50"/>
    </row>
    <row r="83" ht="15.75">
      <c r="J83" s="50"/>
    </row>
    <row r="84" ht="15.75">
      <c r="J84" s="50"/>
    </row>
    <row r="85" ht="15.75">
      <c r="J85" s="50"/>
    </row>
    <row r="86" ht="15.75">
      <c r="J86" s="50"/>
    </row>
    <row r="87" ht="15.75">
      <c r="J87" s="50"/>
    </row>
    <row r="88" ht="15.75">
      <c r="J88" s="50"/>
    </row>
    <row r="89" ht="15.75">
      <c r="J89" s="50"/>
    </row>
    <row r="90" ht="15.75">
      <c r="J90" s="50"/>
    </row>
    <row r="91" ht="15.75">
      <c r="J91" s="50"/>
    </row>
    <row r="92" ht="15.75">
      <c r="J92" s="50"/>
    </row>
    <row r="93" ht="15.75">
      <c r="J93" s="50"/>
    </row>
    <row r="94" ht="15.75">
      <c r="J94" s="50"/>
    </row>
    <row r="95" ht="15.75">
      <c r="J95" s="50"/>
    </row>
    <row r="96" ht="15.75">
      <c r="J96" s="50"/>
    </row>
    <row r="97" ht="15.75">
      <c r="J97" s="50"/>
    </row>
    <row r="98" ht="15.75">
      <c r="J98" s="50"/>
    </row>
    <row r="99" ht="15.75">
      <c r="J99" s="50"/>
    </row>
    <row r="100" ht="15.75">
      <c r="J100" s="50"/>
    </row>
    <row r="101" ht="15.75">
      <c r="J101" s="50"/>
    </row>
    <row r="102" ht="15.75">
      <c r="J102" s="50"/>
    </row>
    <row r="103" ht="15.75">
      <c r="J103" s="50"/>
    </row>
    <row r="104" ht="15.75">
      <c r="J104" s="50"/>
    </row>
    <row r="105" ht="15.75">
      <c r="J105" s="50"/>
    </row>
    <row r="106" ht="15.75">
      <c r="J106" s="50"/>
    </row>
    <row r="107" ht="15.75">
      <c r="J107" s="50"/>
    </row>
    <row r="108" ht="15.75">
      <c r="J108" s="50"/>
    </row>
    <row r="109" ht="15.75">
      <c r="J109" s="50"/>
    </row>
    <row r="110" ht="15.75">
      <c r="J110" s="50"/>
    </row>
    <row r="111" ht="15.75">
      <c r="J111" s="50"/>
    </row>
    <row r="112" ht="15.75">
      <c r="J112" s="50"/>
    </row>
    <row r="113" ht="15.75">
      <c r="J113" s="50"/>
    </row>
    <row r="114" ht="15.75">
      <c r="J114" s="50"/>
    </row>
    <row r="115" ht="15.75">
      <c r="J115" s="50"/>
    </row>
    <row r="116" ht="15.75">
      <c r="J116" s="50"/>
    </row>
    <row r="117" ht="15.75">
      <c r="J117" s="50"/>
    </row>
    <row r="118" ht="15.75">
      <c r="J118" s="50"/>
    </row>
    <row r="119" ht="15.75">
      <c r="J119" s="50"/>
    </row>
    <row r="120" ht="15.75">
      <c r="J120" s="50"/>
    </row>
    <row r="121" ht="15.75">
      <c r="J121" s="50"/>
    </row>
    <row r="122" ht="15.75">
      <c r="J122" s="50"/>
    </row>
    <row r="123" ht="15.75">
      <c r="J123" s="50"/>
    </row>
    <row r="124" ht="15.75">
      <c r="J124" s="50"/>
    </row>
  </sheetData>
  <mergeCells count="37">
    <mergeCell ref="B45:D45"/>
    <mergeCell ref="B36:F36"/>
    <mergeCell ref="B41:I41"/>
    <mergeCell ref="B37:F37"/>
    <mergeCell ref="B38:F38"/>
    <mergeCell ref="B39:F39"/>
    <mergeCell ref="B33:D33"/>
    <mergeCell ref="B34:D34"/>
    <mergeCell ref="B35:E35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J22" sqref="J22"/>
    </sheetView>
  </sheetViews>
  <sheetFormatPr defaultColWidth="9.00390625" defaultRowHeight="15.75"/>
  <cols>
    <col min="1" max="1" width="11.875" style="0" customWidth="1"/>
    <col min="2" max="2" width="11.375" style="0" customWidth="1"/>
    <col min="3" max="3" width="12.75390625" style="0" customWidth="1"/>
    <col min="4" max="4" width="10.50390625" style="0" customWidth="1"/>
    <col min="5" max="5" width="12.75390625" style="0" customWidth="1"/>
    <col min="6" max="6" width="13.37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5" width="13.00390625" style="0" customWidth="1"/>
    <col min="16" max="16" width="10.875" style="0" customWidth="1"/>
    <col min="18" max="18" width="13.50390625" style="0" customWidth="1"/>
    <col min="19" max="19" width="11.875" style="0" customWidth="1"/>
  </cols>
  <sheetData>
    <row r="1" spans="1:19" ht="104.25" customHeight="1" thickBot="1">
      <c r="A1" s="235" t="s">
        <v>163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5.75" customHeight="1">
      <c r="A2" s="226" t="s">
        <v>76</v>
      </c>
      <c r="B2" s="230" t="s">
        <v>77</v>
      </c>
      <c r="C2" s="230" t="s">
        <v>91</v>
      </c>
      <c r="D2" s="230"/>
      <c r="E2" s="230"/>
      <c r="F2" s="230"/>
      <c r="G2" s="230"/>
      <c r="H2" s="230"/>
      <c r="I2" s="230"/>
      <c r="J2" s="236" t="s">
        <v>92</v>
      </c>
      <c r="K2" s="236"/>
      <c r="L2" s="236"/>
      <c r="M2" s="237" t="s">
        <v>93</v>
      </c>
      <c r="N2" s="230" t="s">
        <v>78</v>
      </c>
      <c r="O2" s="230"/>
      <c r="P2" s="230"/>
      <c r="Q2" s="230"/>
      <c r="R2" s="230"/>
      <c r="S2" s="239" t="s">
        <v>106</v>
      </c>
    </row>
    <row r="3" spans="1:19" ht="15.75" customHeight="1">
      <c r="A3" s="227"/>
      <c r="B3" s="225"/>
      <c r="C3" s="231" t="s">
        <v>79</v>
      </c>
      <c r="D3" s="232"/>
      <c r="E3" s="233"/>
      <c r="F3" s="231" t="s">
        <v>80</v>
      </c>
      <c r="G3" s="232"/>
      <c r="H3" s="233"/>
      <c r="I3" s="222" t="s">
        <v>81</v>
      </c>
      <c r="J3" s="223" t="s">
        <v>94</v>
      </c>
      <c r="K3" s="228" t="s">
        <v>95</v>
      </c>
      <c r="L3" s="223" t="s">
        <v>96</v>
      </c>
      <c r="M3" s="238"/>
      <c r="N3" s="222" t="s">
        <v>97</v>
      </c>
      <c r="O3" s="225" t="s">
        <v>82</v>
      </c>
      <c r="P3" s="225" t="s">
        <v>83</v>
      </c>
      <c r="Q3" s="225" t="s">
        <v>84</v>
      </c>
      <c r="R3" s="225" t="s">
        <v>85</v>
      </c>
      <c r="S3" s="240"/>
    </row>
    <row r="4" spans="1:19" ht="47.25" customHeight="1">
      <c r="A4" s="227"/>
      <c r="B4" s="225"/>
      <c r="C4" s="133" t="s">
        <v>86</v>
      </c>
      <c r="D4" s="132" t="s">
        <v>84</v>
      </c>
      <c r="E4" s="132" t="s">
        <v>85</v>
      </c>
      <c r="F4" s="133" t="s">
        <v>86</v>
      </c>
      <c r="G4" s="132" t="s">
        <v>84</v>
      </c>
      <c r="H4" s="132" t="s">
        <v>85</v>
      </c>
      <c r="I4" s="222"/>
      <c r="J4" s="224"/>
      <c r="K4" s="229"/>
      <c r="L4" s="224"/>
      <c r="M4" s="229"/>
      <c r="N4" s="225"/>
      <c r="O4" s="225"/>
      <c r="P4" s="225"/>
      <c r="Q4" s="225"/>
      <c r="R4" s="225"/>
      <c r="S4" s="240"/>
    </row>
    <row r="5" spans="1:19" ht="31.5">
      <c r="A5" s="131">
        <v>1</v>
      </c>
      <c r="B5" s="132">
        <v>2</v>
      </c>
      <c r="C5" s="133">
        <v>3</v>
      </c>
      <c r="D5" s="132">
        <v>4</v>
      </c>
      <c r="E5" s="132" t="s">
        <v>98</v>
      </c>
      <c r="F5" s="133">
        <v>6</v>
      </c>
      <c r="G5" s="132">
        <v>7</v>
      </c>
      <c r="H5" s="132" t="s">
        <v>99</v>
      </c>
      <c r="I5" s="133" t="s">
        <v>100</v>
      </c>
      <c r="J5" s="132">
        <v>10</v>
      </c>
      <c r="K5" s="132">
        <v>11</v>
      </c>
      <c r="L5" s="133">
        <v>12</v>
      </c>
      <c r="M5" s="133" t="s">
        <v>101</v>
      </c>
      <c r="N5" s="132">
        <v>14</v>
      </c>
      <c r="O5" s="133">
        <v>15</v>
      </c>
      <c r="P5" s="132">
        <v>16</v>
      </c>
      <c r="Q5" s="132">
        <v>17</v>
      </c>
      <c r="R5" s="133" t="s">
        <v>102</v>
      </c>
      <c r="S5" s="134" t="s">
        <v>103</v>
      </c>
    </row>
    <row r="6" spans="1:19" ht="15.75">
      <c r="A6" s="135">
        <v>-36045.94</v>
      </c>
      <c r="B6" s="136" t="s">
        <v>158</v>
      </c>
      <c r="C6" s="137">
        <v>318985.3</v>
      </c>
      <c r="D6" s="137">
        <v>13663.44</v>
      </c>
      <c r="E6" s="137">
        <f>C6+D6</f>
        <v>332648.74</v>
      </c>
      <c r="F6" s="137">
        <f>'отчте12 (09-12)'!H10</f>
        <v>358219.37</v>
      </c>
      <c r="G6" s="137">
        <f>'отчте12 (09-12)'!H11</f>
        <v>14073.85</v>
      </c>
      <c r="H6" s="137">
        <f>SUM(F6:G6)</f>
        <v>372293.22</v>
      </c>
      <c r="I6" s="138">
        <f>E6-H6</f>
        <v>-39644.47999999998</v>
      </c>
      <c r="J6" s="137">
        <v>0</v>
      </c>
      <c r="K6" s="137">
        <v>0</v>
      </c>
      <c r="L6" s="137">
        <v>0</v>
      </c>
      <c r="M6" s="137">
        <f>H6+J6+K6+L6</f>
        <v>372293.22</v>
      </c>
      <c r="N6" s="137">
        <f>'отчте12 (09-12)'!J29</f>
        <v>34270.54</v>
      </c>
      <c r="O6" s="137">
        <f>'отчте12 (09-12)'!J31-'отчте12 (09-12)'!J29</f>
        <v>247848.46999999994</v>
      </c>
      <c r="P6" s="137">
        <f>'отчте12 (09-12)'!H35</f>
        <v>124984.2</v>
      </c>
      <c r="Q6" s="138">
        <f>'отчте12 (09-12)'!H37</f>
        <v>0</v>
      </c>
      <c r="R6" s="137">
        <f>SUM(N6:Q6)</f>
        <v>407103.20999999996</v>
      </c>
      <c r="S6" s="139">
        <f>M6-R6</f>
        <v>-34809.98999999999</v>
      </c>
    </row>
    <row r="7" spans="1:19" ht="15.75">
      <c r="A7" s="135"/>
      <c r="B7" s="136"/>
      <c r="C7" s="137"/>
      <c r="D7" s="137"/>
      <c r="E7" s="137">
        <f>SUM(C7:D7)</f>
        <v>0</v>
      </c>
      <c r="F7" s="137"/>
      <c r="G7" s="137"/>
      <c r="H7" s="137">
        <f>SUM(F7:G7)</f>
        <v>0</v>
      </c>
      <c r="I7" s="138">
        <f>E7-H7</f>
        <v>0</v>
      </c>
      <c r="J7" s="137">
        <v>0</v>
      </c>
      <c r="K7" s="137">
        <v>0</v>
      </c>
      <c r="L7" s="137">
        <v>0</v>
      </c>
      <c r="M7" s="137">
        <f>H7+J7+K7+L7</f>
        <v>0</v>
      </c>
      <c r="N7" s="137"/>
      <c r="O7" s="137"/>
      <c r="P7" s="137"/>
      <c r="Q7" s="138">
        <v>0</v>
      </c>
      <c r="R7" s="137">
        <f>SUM(N7:Q7)</f>
        <v>0</v>
      </c>
      <c r="S7" s="139">
        <f>M7-R7</f>
        <v>0</v>
      </c>
    </row>
    <row r="8" spans="1:19" ht="15.75">
      <c r="A8" s="135"/>
      <c r="B8" s="136"/>
      <c r="C8" s="137"/>
      <c r="D8" s="137"/>
      <c r="E8" s="137">
        <f>SUM(C8:D8)</f>
        <v>0</v>
      </c>
      <c r="F8" s="137"/>
      <c r="G8" s="137"/>
      <c r="H8" s="137">
        <f>SUM(F8:G8)</f>
        <v>0</v>
      </c>
      <c r="I8" s="138">
        <f>E8-H8</f>
        <v>0</v>
      </c>
      <c r="J8" s="137">
        <v>0</v>
      </c>
      <c r="K8" s="137">
        <v>0</v>
      </c>
      <c r="L8" s="137">
        <v>0</v>
      </c>
      <c r="M8" s="137">
        <f>H8+J8+K8+L8</f>
        <v>0</v>
      </c>
      <c r="N8" s="137"/>
      <c r="O8" s="137"/>
      <c r="P8" s="137"/>
      <c r="Q8" s="138">
        <v>0</v>
      </c>
      <c r="R8" s="137">
        <f>SUM(N8:Q8)</f>
        <v>0</v>
      </c>
      <c r="S8" s="139">
        <f>M8-R8</f>
        <v>0</v>
      </c>
    </row>
    <row r="9" spans="1:19" ht="15.75">
      <c r="A9" s="135"/>
      <c r="B9" s="136"/>
      <c r="C9" s="137"/>
      <c r="D9" s="137"/>
      <c r="E9" s="137">
        <f>SUM(C9:D9)</f>
        <v>0</v>
      </c>
      <c r="F9" s="137"/>
      <c r="G9" s="137"/>
      <c r="H9" s="137">
        <f>SUM(F9:G9)</f>
        <v>0</v>
      </c>
      <c r="I9" s="138">
        <f>E9-H9</f>
        <v>0</v>
      </c>
      <c r="J9" s="137">
        <f>'[1]отчет 2011'!I12</f>
        <v>0</v>
      </c>
      <c r="K9" s="137">
        <f>'[1]отчет 2011'!I13</f>
        <v>0</v>
      </c>
      <c r="L9" s="137">
        <f>'[1]отчет 2011'!H13</f>
        <v>0</v>
      </c>
      <c r="M9" s="137">
        <f>H9+J9+K9+L9</f>
        <v>0</v>
      </c>
      <c r="N9" s="137"/>
      <c r="O9" s="137"/>
      <c r="P9" s="137"/>
      <c r="Q9" s="138">
        <v>0</v>
      </c>
      <c r="R9" s="137">
        <f>SUM(N9:Q9)</f>
        <v>0</v>
      </c>
      <c r="S9" s="139">
        <f>M9-R9</f>
        <v>0</v>
      </c>
    </row>
    <row r="10" spans="1:19" ht="15.75">
      <c r="A10" s="135"/>
      <c r="B10" s="136"/>
      <c r="C10" s="137"/>
      <c r="D10" s="137"/>
      <c r="E10" s="137">
        <f>SUM(C10:D10)</f>
        <v>0</v>
      </c>
      <c r="F10" s="137"/>
      <c r="G10" s="137"/>
      <c r="H10" s="137">
        <f>SUM(F10:G10)</f>
        <v>0</v>
      </c>
      <c r="I10" s="138">
        <f>E10-H10</f>
        <v>0</v>
      </c>
      <c r="J10" s="137">
        <v>0</v>
      </c>
      <c r="K10" s="137">
        <v>0</v>
      </c>
      <c r="L10" s="137">
        <v>0</v>
      </c>
      <c r="M10" s="137">
        <f>H10+J10+K10+L10</f>
        <v>0</v>
      </c>
      <c r="N10" s="137"/>
      <c r="O10" s="137"/>
      <c r="P10" s="137"/>
      <c r="Q10" s="138">
        <v>0</v>
      </c>
      <c r="R10" s="137">
        <f>SUM(N10:Q10)</f>
        <v>0</v>
      </c>
      <c r="S10" s="139">
        <f>M10-R10</f>
        <v>0</v>
      </c>
    </row>
    <row r="11" spans="1:19" ht="16.5" thickBot="1">
      <c r="A11" s="140"/>
      <c r="B11" s="141" t="s">
        <v>104</v>
      </c>
      <c r="C11" s="142">
        <f aca="true" t="shared" si="0" ref="C11:R11">SUM(C6:C10)</f>
        <v>318985.3</v>
      </c>
      <c r="D11" s="142">
        <f t="shared" si="0"/>
        <v>13663.44</v>
      </c>
      <c r="E11" s="142">
        <f t="shared" si="0"/>
        <v>332648.74</v>
      </c>
      <c r="F11" s="142">
        <f t="shared" si="0"/>
        <v>358219.37</v>
      </c>
      <c r="G11" s="142">
        <f t="shared" si="0"/>
        <v>14073.85</v>
      </c>
      <c r="H11" s="142">
        <f t="shared" si="0"/>
        <v>372293.22</v>
      </c>
      <c r="I11" s="142">
        <f t="shared" si="0"/>
        <v>-39644.47999999998</v>
      </c>
      <c r="J11" s="142">
        <f t="shared" si="0"/>
        <v>0</v>
      </c>
      <c r="K11" s="142">
        <f t="shared" si="0"/>
        <v>0</v>
      </c>
      <c r="L11" s="142">
        <f t="shared" si="0"/>
        <v>0</v>
      </c>
      <c r="M11" s="142">
        <f t="shared" si="0"/>
        <v>372293.22</v>
      </c>
      <c r="N11" s="142">
        <f t="shared" si="0"/>
        <v>34270.54</v>
      </c>
      <c r="O11" s="142">
        <f t="shared" si="0"/>
        <v>247848.46999999994</v>
      </c>
      <c r="P11" s="142">
        <f t="shared" si="0"/>
        <v>124984.2</v>
      </c>
      <c r="Q11" s="142">
        <f t="shared" si="0"/>
        <v>0</v>
      </c>
      <c r="R11" s="142">
        <f t="shared" si="0"/>
        <v>407103.20999999996</v>
      </c>
      <c r="S11" s="143">
        <f>A6+SUM(S6:S10)</f>
        <v>-70855.93</v>
      </c>
    </row>
    <row r="12" spans="1:19" ht="15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5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1:19" ht="16.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5"/>
      <c r="P14" s="145"/>
      <c r="Q14" s="145"/>
      <c r="R14" s="145"/>
      <c r="S14" s="146"/>
    </row>
    <row r="15" spans="1:19" ht="16.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5"/>
      <c r="P15" s="145"/>
      <c r="Q15" s="145"/>
      <c r="R15" s="145"/>
      <c r="S15" s="145"/>
    </row>
    <row r="16" spans="1:19" ht="18.75">
      <c r="A16" s="147"/>
      <c r="B16" s="234" t="s">
        <v>159</v>
      </c>
      <c r="C16" s="234"/>
      <c r="D16" s="234"/>
      <c r="E16" s="234"/>
      <c r="F16" s="234" t="s">
        <v>160</v>
      </c>
      <c r="G16" s="234"/>
      <c r="H16" s="234"/>
      <c r="I16" s="234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18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19" ht="18.75">
      <c r="A19" s="144"/>
      <c r="B19" s="148" t="s">
        <v>161</v>
      </c>
      <c r="C19" s="144"/>
      <c r="D19" s="144"/>
      <c r="E19" s="144"/>
      <c r="F19" s="234" t="s">
        <v>162</v>
      </c>
      <c r="G19" s="234"/>
      <c r="H19" s="23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</row>
    <row r="20" spans="1:19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</row>
    <row r="21" spans="1:19" ht="15.75">
      <c r="A21" s="144" t="s">
        <v>156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ht="15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1:19" ht="15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</row>
    <row r="24" spans="1:19" ht="15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</row>
  </sheetData>
  <sheetProtection/>
  <mergeCells count="22">
    <mergeCell ref="B16:E16"/>
    <mergeCell ref="F16:I16"/>
    <mergeCell ref="F19:H19"/>
    <mergeCell ref="A1:S1"/>
    <mergeCell ref="J2:L2"/>
    <mergeCell ref="M2:M4"/>
    <mergeCell ref="N2:R2"/>
    <mergeCell ref="S2:S4"/>
    <mergeCell ref="O3:O4"/>
    <mergeCell ref="P3:P4"/>
    <mergeCell ref="A2:A4"/>
    <mergeCell ref="K3:K4"/>
    <mergeCell ref="L3:L4"/>
    <mergeCell ref="N3:N4"/>
    <mergeCell ref="B2:B4"/>
    <mergeCell ref="C2:I2"/>
    <mergeCell ref="C3:E3"/>
    <mergeCell ref="F3:H3"/>
    <mergeCell ref="I3:I4"/>
    <mergeCell ref="J3:J4"/>
    <mergeCell ref="Q3:Q4"/>
    <mergeCell ref="R3:R4"/>
  </mergeCells>
  <printOptions/>
  <pageMargins left="0.33" right="0" top="0" bottom="0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2013-02-26T09:37:53Z</cp:lastPrinted>
  <dcterms:created xsi:type="dcterms:W3CDTF">2009-08-26T03:25:10Z</dcterms:created>
  <dcterms:modified xsi:type="dcterms:W3CDTF">2013-05-08T04:58:58Z</dcterms:modified>
  <cp:category/>
  <cp:version/>
  <cp:contentType/>
  <cp:contentStatus/>
</cp:coreProperties>
</file>