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480" windowHeight="11640" firstSheet="4" activeTab="4"/>
  </bookViews>
  <sheets>
    <sheet name="отчет 2011" sheetId="1" state="hidden" r:id="rId1"/>
    <sheet name="смета 2012" sheetId="2" state="hidden" r:id="rId2"/>
    <sheet name="09.12" sheetId="3" state="hidden" r:id="rId3"/>
    <sheet name="план2013" sheetId="4" state="hidden" r:id="rId4"/>
    <sheet name="отчте12(10-12)" sheetId="5" r:id="rId5"/>
    <sheet name="накоп. отчет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<sst xmlns="http://schemas.openxmlformats.org/spreadsheetml/2006/main" count="449" uniqueCount="165">
  <si>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</si>
  <si>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</si>
  <si>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</si>
  <si>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</si>
  <si>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</si>
  <si>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</si>
  <si>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</si>
  <si>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</si>
  <si>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</si>
  <si>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</si>
  <si>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</si>
  <si>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</si>
  <si>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</si>
  <si>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</si>
  <si>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</si>
  <si>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</si>
  <si>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</si>
  <si>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</si>
  <si>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</si>
  <si>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</si>
  <si>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</si>
  <si>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</si>
  <si>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</si>
  <si>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</si>
  <si>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</si>
  <si>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</si>
  <si>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</si>
  <si>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</si>
  <si>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</si>
  <si>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</si>
  <si>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</si>
  <si>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</si>
  <si>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</si>
  <si>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</si>
  <si>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</si>
  <si>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 xml:space="preserve">Содержание и уборка придомовой территории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</si>
  <si>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</si>
  <si>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</si>
  <si>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</si>
  <si>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>ООО "ОЖКС № 6"</t>
  </si>
  <si>
    <t>пр. Ленина, 131</t>
  </si>
  <si>
    <t>Претензий по управлению нет (да)</t>
  </si>
  <si>
    <t>1.</t>
  </si>
  <si>
    <t>2.</t>
  </si>
  <si>
    <t>кв.м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</si>
  <si>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</si>
  <si>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</si>
  <si>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</si>
  <si>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</si>
  <si>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</si>
  <si>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</si>
  <si>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</si>
  <si>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</si>
  <si>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</si>
  <si>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</si>
  <si>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</si>
  <si>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</si>
  <si>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</si>
  <si>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</si>
  <si>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</si>
  <si>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</si>
  <si>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</si>
  <si>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</si>
  <si>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</si>
  <si>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</si>
  <si>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</si>
  <si>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</si>
  <si>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</si>
  <si>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</si>
  <si>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</si>
  <si>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</si>
  <si>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</si>
  <si>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</si>
  <si>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</si>
  <si>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</si>
  <si>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</si>
  <si>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Сальдо
 на 01.01
+экономия
-перерасход</t>
  </si>
  <si>
    <t>год</t>
  </si>
  <si>
    <t>выполнено работ, руб.</t>
  </si>
  <si>
    <t>начислено</t>
  </si>
  <si>
    <t>оплачено</t>
  </si>
  <si>
    <t>результат
(+долг, 
-перепл.)</t>
  </si>
  <si>
    <t>обслуж.</t>
  </si>
  <si>
    <t>тек. рем.</t>
  </si>
  <si>
    <t>кап.рем.</t>
  </si>
  <si>
    <t>итого</t>
  </si>
  <si>
    <t>обслуж.
+ тек.р.</t>
  </si>
  <si>
    <t>Тариф на 
1 кв.м.
руб.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</si>
  <si>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</si>
  <si>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</si>
  <si>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</si>
  <si>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>взаимоотношения с населением по утвержденному тарифу, руб.</t>
  </si>
  <si>
    <t>прочие доходы, руб.</t>
  </si>
  <si>
    <t>ИТОГО
ДОХОДОВ</t>
  </si>
  <si>
    <t>аренда
торы</t>
  </si>
  <si>
    <t>антенны</t>
  </si>
  <si>
    <t>бюджетные
средства по ФЗ-185</t>
  </si>
  <si>
    <t>управ
ление</t>
  </si>
  <si>
    <t>5=3+4</t>
  </si>
  <si>
    <t>8=6+7</t>
  </si>
  <si>
    <t>9=5-8</t>
  </si>
  <si>
    <t>13=
8+10+11+12</t>
  </si>
  <si>
    <t>18=14+15+
16+17</t>
  </si>
  <si>
    <t>19=13-18</t>
  </si>
  <si>
    <t>Итого</t>
  </si>
  <si>
    <t>результат
 за год
(+эконом., 
-перерасх.)</t>
  </si>
  <si>
    <t xml:space="preserve">Сбор, вывоз  бытового мусора, содержание  мусоропроводов </t>
  </si>
  <si>
    <t xml:space="preserve">                   Представитель собственников  - старший по дому ___________________________________,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2011 году.  </t>
  </si>
  <si>
    <t>Принято: Старший по дому                                                 _____________________________</t>
  </si>
  <si>
    <t>ОТЧЕТ
за  2011 г. о выполненнии условий  договора управления МКД
№224/6 от 28.03.20099 г., заключенного между ООО "ОЖКС №6" 
и собственниками многоквартирного дома
по адресу:  пр. Ленина, 131</t>
  </si>
  <si>
    <t xml:space="preserve">Финансовый результат за 2011г. (+ экономия,- перерасход)                                                      </t>
  </si>
  <si>
    <t>Смета 
доходов и расходов  на  2012 г.
согласно договора управления МКД 
№224/6 от 28.03.2008 г., заключенного между ООО "ОЖКС №6" 
и собственниками многоквартирного дома
по адресу:  пр. Ленина, 131</t>
  </si>
  <si>
    <t xml:space="preserve"> Текущий ремонт общего имущества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</si>
  <si>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</si>
  <si>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</si>
  <si>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</si>
  <si>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</si>
  <si>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 xml:space="preserve"> Текущий ремонт общего имущества </t>
  </si>
  <si>
    <t>по плану работ</t>
  </si>
  <si>
    <t>* в случае уточнения площадей возможно изменение стоимости</t>
  </si>
  <si>
    <t xml:space="preserve">Директор ООО "Октябрьский ЖКС № 6"                       </t>
  </si>
  <si>
    <t xml:space="preserve">                       Представитель Собственников</t>
  </si>
  <si>
    <t>_________________ Л.И. Никашина</t>
  </si>
  <si>
    <t xml:space="preserve">                           ________________________</t>
  </si>
  <si>
    <t>Капитальный ремонт</t>
  </si>
  <si>
    <t>1.1.</t>
  </si>
  <si>
    <t>1.2.</t>
  </si>
  <si>
    <t>1.3.</t>
  </si>
  <si>
    <t>подметание асфальта -   1 раз/неделю,                
подбор мусора - ежедневно</t>
  </si>
  <si>
    <t>Тариф с 1 октября 2012 г. - 15,36 руб., капитальный ремонт - 0,80 руб.</t>
  </si>
  <si>
    <t>Сбор, вывоз  бытового мусора, содержание  контейнерных площадок</t>
  </si>
  <si>
    <t>Тариф 
на 1 кв.м. 
октябрь-декабрь 2012г.
руб.</t>
  </si>
  <si>
    <t>Стоимость работ
октябрь-декабрь 2012г. руб.</t>
  </si>
  <si>
    <t>5=гр.4*Sдома*3мес.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</si>
  <si>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</si>
  <si>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</si>
  <si>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</si>
  <si>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</si>
  <si>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</si>
  <si>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</si>
  <si>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</si>
  <si>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</si>
  <si>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Управление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</si>
  <si>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</si>
  <si>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</si>
  <si>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</si>
  <si>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Смета доходов и расходов на  2013 г. 
согласно договора на оказание услуг МКД № 36/6 от 29.09.2012 г., 
заключенного между ООО "ОЖКС № 6"   
и собственниками многоквартирного дома
по адресу:  пр. Ленина,131</t>
  </si>
  <si>
    <t xml:space="preserve">                  Совет МКД в лице  ___________________________________,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с 01.10.12г. по 31.12.12г.</t>
  </si>
  <si>
    <t>ОТЧЕТ
с 01.10.12г по 31.12.12 г о выполненнии условий  договора на оказание услуг МКД 
№ 36/6 от 29.09.12, заключенного между ООО "ОЖКС №6" 
и собственниками многоквартирного дома
по адресу:  пр. Ленина, 131</t>
  </si>
  <si>
    <t>кол-во мес по нов. дог-ру</t>
  </si>
  <si>
    <t xml:space="preserve"> - прочие доходы </t>
  </si>
  <si>
    <t>Сбор, вывоз  бытового мусора, содержание контейнерных площадок</t>
  </si>
  <si>
    <t xml:space="preserve">Директор ООО "ОЖКС № 6"                                                     Л.И. Никашина                               </t>
  </si>
  <si>
    <t>Совет МКД                                           ________________________</t>
  </si>
  <si>
    <t>Претензий по обслуживанию нет (да)</t>
  </si>
  <si>
    <t>Исполнитель: Стыценкова И.А.</t>
  </si>
  <si>
    <t>Тариф 01.10.12г-31.12.12г.</t>
  </si>
  <si>
    <t>Сумма 
с 01.10.12г.-31.12.12г., руб.</t>
  </si>
  <si>
    <t xml:space="preserve">Финансовый результат с 01.10.12 - 31.12.12г. (+ экономия,- перерасход)                                                      </t>
  </si>
  <si>
    <t xml:space="preserve">Директор ООО "ОЖКС № 6"                                 </t>
  </si>
  <si>
    <t xml:space="preserve">____________ Л.И. Никашина                               </t>
  </si>
  <si>
    <t>Совет МКД</t>
  </si>
  <si>
    <t>_______________/___________/</t>
  </si>
  <si>
    <t>ОТЧЕТ
по  договору оказания услуг МКД 
№ 36/6 от 01.10.2012 г., заключенного между ООО "ОЖКС №6" и собственниками многоквартирного дома
по адресу:  пр. Ленина, 131</t>
  </si>
  <si>
    <t>с 01.10.12г.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</si>
</sst>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30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4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16" fontId="2" fillId="0" borderId="13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5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indent="1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indent="1"/>
    </xf>
    <xf numFmtId="0" fontId="0" fillId="0" borderId="1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29" xfId="0" applyBorder="1" applyAlignment="1">
      <alignment horizontal="justify" wrapText="1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375" style="0" customWidth="1"/>
    <col min="2" max="2" width="25.125" style="0" customWidth="1"/>
    <col min="3" max="3" width="3.75390625" style="0" customWidth="1"/>
    <col min="4" max="4" width="18.375" style="0" customWidth="1"/>
    <col min="5" max="5" width="18.625" style="0" customWidth="1"/>
    <col min="6" max="6" width="18.00390625" style="0" hidden="1" customWidth="1"/>
    <col min="7" max="7" width="6.75390625" style="0" hidden="1" customWidth="1"/>
    <col min="8" max="8" width="11.625" style="0" customWidth="1"/>
    <col min="9" max="9" width="12.00390625" style="0" customWidth="1"/>
    <col min="10" max="10" width="13.50390625" style="0" customWidth="1"/>
  </cols>
  <sheetData>
    <row r="1" spans="1:10" ht="111" customHeight="1">
      <c r="A1" s="178" t="s">
        <v>109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67.5" customHeight="1">
      <c r="A2" s="179" t="s">
        <v>107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9" ht="18.75">
      <c r="A3" s="1" t="s">
        <v>36</v>
      </c>
      <c r="B3" s="1" t="s">
        <v>40</v>
      </c>
      <c r="C3" s="2"/>
      <c r="D3" s="2" t="s">
        <v>0</v>
      </c>
      <c r="E3" s="4">
        <v>5555.9</v>
      </c>
      <c r="F3" s="2"/>
      <c r="I3" s="52">
        <v>0</v>
      </c>
    </row>
    <row r="4" spans="2:9" ht="15.75">
      <c r="B4" s="3" t="s">
        <v>1</v>
      </c>
      <c r="C4" s="22">
        <v>9</v>
      </c>
      <c r="D4" s="2" t="s">
        <v>2</v>
      </c>
      <c r="E4" s="4">
        <v>108</v>
      </c>
      <c r="F4" s="2"/>
      <c r="I4" t="s">
        <v>44</v>
      </c>
    </row>
    <row r="5" spans="2:9" ht="15.75">
      <c r="B5" s="3" t="s">
        <v>3</v>
      </c>
      <c r="C5" s="4">
        <v>3</v>
      </c>
      <c r="D5" s="2" t="s">
        <v>4</v>
      </c>
      <c r="E5" s="2" t="s">
        <v>15</v>
      </c>
      <c r="F5" s="2"/>
      <c r="G5" s="2"/>
      <c r="I5" s="2" t="s">
        <v>51</v>
      </c>
    </row>
    <row r="6" spans="2:9" ht="15.75">
      <c r="B6" s="3"/>
      <c r="C6" s="4"/>
      <c r="D6" s="2" t="s">
        <v>5</v>
      </c>
      <c r="E6" s="2" t="s">
        <v>15</v>
      </c>
      <c r="F6" s="2"/>
      <c r="G6" s="2"/>
      <c r="I6" t="s">
        <v>52</v>
      </c>
    </row>
    <row r="7" spans="1:10" ht="39" customHeight="1">
      <c r="A7" s="17" t="s">
        <v>31</v>
      </c>
      <c r="B7" s="180" t="s">
        <v>53</v>
      </c>
      <c r="C7" s="181"/>
      <c r="D7" s="182"/>
      <c r="E7" s="10" t="s">
        <v>6</v>
      </c>
      <c r="F7" s="10" t="s">
        <v>7</v>
      </c>
      <c r="G7" s="25" t="s">
        <v>20</v>
      </c>
      <c r="H7" s="183" t="s">
        <v>54</v>
      </c>
      <c r="I7" s="184"/>
      <c r="J7" s="185"/>
    </row>
    <row r="8" spans="1:10" ht="15.75">
      <c r="A8" s="18">
        <v>1</v>
      </c>
      <c r="B8" s="175"/>
      <c r="C8" s="176"/>
      <c r="D8" s="176"/>
      <c r="E8" s="176"/>
      <c r="F8" s="177"/>
      <c r="G8" s="54"/>
      <c r="H8" s="55" t="s">
        <v>55</v>
      </c>
      <c r="I8" s="56" t="s">
        <v>56</v>
      </c>
      <c r="J8" s="56" t="s">
        <v>57</v>
      </c>
    </row>
    <row r="9" spans="1:10" ht="15.75">
      <c r="A9" s="18"/>
      <c r="B9" s="175" t="s">
        <v>58</v>
      </c>
      <c r="C9" s="176"/>
      <c r="D9" s="176"/>
      <c r="E9" s="176"/>
      <c r="F9" s="177"/>
      <c r="G9" s="43"/>
      <c r="H9" s="43"/>
      <c r="I9" s="37"/>
      <c r="J9" s="56"/>
    </row>
    <row r="10" spans="1:10" ht="15.75">
      <c r="A10" s="57"/>
      <c r="B10" s="122" t="s">
        <v>59</v>
      </c>
      <c r="C10" s="122"/>
      <c r="D10" s="122"/>
      <c r="E10" s="122"/>
      <c r="F10" s="122"/>
      <c r="G10" s="13"/>
      <c r="H10" s="58">
        <v>950245.31</v>
      </c>
      <c r="I10" s="40"/>
      <c r="J10" s="59">
        <f>H10+I10</f>
        <v>950245.31</v>
      </c>
    </row>
    <row r="11" spans="1:10" ht="15.75">
      <c r="A11" s="57"/>
      <c r="B11" s="122" t="s">
        <v>60</v>
      </c>
      <c r="C11" s="122"/>
      <c r="D11" s="122"/>
      <c r="E11" s="122"/>
      <c r="F11" s="122"/>
      <c r="G11" s="13"/>
      <c r="H11" s="14">
        <v>33948.09</v>
      </c>
      <c r="I11" s="40"/>
      <c r="J11" s="59">
        <f>H11+I11</f>
        <v>33948.09</v>
      </c>
    </row>
    <row r="12" spans="1:10" ht="15.75">
      <c r="A12" s="18"/>
      <c r="B12" s="122" t="s">
        <v>61</v>
      </c>
      <c r="C12" s="122"/>
      <c r="D12" s="122"/>
      <c r="E12" s="122"/>
      <c r="F12" s="122"/>
      <c r="G12" s="13"/>
      <c r="H12" s="58"/>
      <c r="I12" s="40">
        <v>0</v>
      </c>
      <c r="J12" s="59">
        <f>H12+I12</f>
        <v>0</v>
      </c>
    </row>
    <row r="13" spans="1:10" ht="15.75">
      <c r="A13" s="18"/>
      <c r="B13" s="122" t="s">
        <v>62</v>
      </c>
      <c r="C13" s="122"/>
      <c r="D13" s="122"/>
      <c r="E13" s="122"/>
      <c r="F13" s="122"/>
      <c r="G13" s="13"/>
      <c r="H13" s="58">
        <v>0</v>
      </c>
      <c r="I13" s="60">
        <v>0</v>
      </c>
      <c r="J13" s="59">
        <f>H13+I13</f>
        <v>0</v>
      </c>
    </row>
    <row r="14" spans="1:10" ht="15.75">
      <c r="A14" s="18"/>
      <c r="B14" s="173" t="s">
        <v>63</v>
      </c>
      <c r="C14" s="173"/>
      <c r="D14" s="173"/>
      <c r="E14" s="173"/>
      <c r="F14" s="173"/>
      <c r="G14" s="13"/>
      <c r="H14" s="61">
        <f>SUM(H10:H13)</f>
        <v>984193.4</v>
      </c>
      <c r="I14" s="61">
        <f>SUM(I10:I13)</f>
        <v>0</v>
      </c>
      <c r="J14" s="61">
        <f>SUM(J10:J13)</f>
        <v>984193.4</v>
      </c>
    </row>
    <row r="15" spans="1:10" ht="18.75">
      <c r="A15" s="18">
        <v>2</v>
      </c>
      <c r="B15" s="174" t="s">
        <v>32</v>
      </c>
      <c r="C15" s="174"/>
      <c r="D15" s="174"/>
      <c r="E15" s="174"/>
      <c r="F15" s="174"/>
      <c r="G15" s="13"/>
      <c r="H15" s="58"/>
      <c r="I15" s="40"/>
      <c r="J15" s="27"/>
    </row>
    <row r="16" spans="1:10" ht="15.75">
      <c r="A16" s="18" t="s">
        <v>64</v>
      </c>
      <c r="B16" s="15" t="s">
        <v>33</v>
      </c>
      <c r="C16" s="15"/>
      <c r="D16" s="15"/>
      <c r="E16" s="15"/>
      <c r="F16" s="5"/>
      <c r="G16" s="55"/>
      <c r="H16" s="55"/>
      <c r="I16" s="53"/>
      <c r="J16" s="56"/>
    </row>
    <row r="17" spans="1:10" ht="30.75" customHeight="1">
      <c r="A17" s="21"/>
      <c r="B17" s="152" t="s">
        <v>106</v>
      </c>
      <c r="C17" s="152"/>
      <c r="D17" s="152"/>
      <c r="E17" s="63" t="s">
        <v>28</v>
      </c>
      <c r="F17" s="45" t="s">
        <v>22</v>
      </c>
      <c r="G17" s="46">
        <v>1.22</v>
      </c>
      <c r="H17" s="64">
        <f>ROUND(G17*$E$3*12,2)</f>
        <v>81338.38</v>
      </c>
      <c r="I17" s="65">
        <f>$I$12*0.08</f>
        <v>0</v>
      </c>
      <c r="J17" s="66">
        <f>SUM(H17:I17)</f>
        <v>81338.38</v>
      </c>
    </row>
    <row r="18" spans="1:10" ht="26.25" customHeight="1">
      <c r="A18" s="18"/>
      <c r="B18" s="154" t="s">
        <v>16</v>
      </c>
      <c r="C18" s="154"/>
      <c r="D18" s="154"/>
      <c r="E18" s="63" t="s">
        <v>28</v>
      </c>
      <c r="F18" s="45" t="s">
        <v>17</v>
      </c>
      <c r="G18" s="46">
        <v>0.28</v>
      </c>
      <c r="H18" s="64">
        <f>ROUND(G18*$E$3*12,2)</f>
        <v>18667.82</v>
      </c>
      <c r="I18" s="65">
        <f>$I$12*0.02</f>
        <v>0</v>
      </c>
      <c r="J18" s="66">
        <f>SUM(H18:I18)</f>
        <v>18667.82</v>
      </c>
    </row>
    <row r="19" spans="1:10" ht="20.25" customHeight="1">
      <c r="A19" s="18"/>
      <c r="B19" s="151" t="s">
        <v>21</v>
      </c>
      <c r="C19" s="151"/>
      <c r="D19" s="151"/>
      <c r="E19" s="67" t="s">
        <v>65</v>
      </c>
      <c r="F19" s="48" t="s">
        <v>18</v>
      </c>
      <c r="G19" s="46">
        <v>0.99</v>
      </c>
      <c r="H19" s="64">
        <f>J19-I19</f>
        <v>57757.86</v>
      </c>
      <c r="I19" s="65">
        <f>$I$12*0.07</f>
        <v>0</v>
      </c>
      <c r="J19" s="68">
        <v>57757.86</v>
      </c>
    </row>
    <row r="20" spans="1:10" ht="20.25" customHeight="1">
      <c r="A20" s="21"/>
      <c r="B20" s="152" t="s">
        <v>27</v>
      </c>
      <c r="C20" s="152"/>
      <c r="D20" s="152"/>
      <c r="E20" s="69" t="s">
        <v>8</v>
      </c>
      <c r="F20" s="49" t="s">
        <v>9</v>
      </c>
      <c r="G20" s="46">
        <v>0.51</v>
      </c>
      <c r="H20" s="64">
        <f>ROUND(G20*$E$3*12,2)</f>
        <v>34002.11</v>
      </c>
      <c r="I20" s="65">
        <f>$I$12*0.04</f>
        <v>0</v>
      </c>
      <c r="J20" s="66">
        <f>SUM(H20:I20)</f>
        <v>34002.11</v>
      </c>
    </row>
    <row r="21" spans="1:10" ht="47.25" customHeight="1">
      <c r="A21" s="18"/>
      <c r="B21" s="151" t="s">
        <v>25</v>
      </c>
      <c r="C21" s="151"/>
      <c r="D21" s="151"/>
      <c r="E21" s="67" t="s">
        <v>66</v>
      </c>
      <c r="F21" s="48" t="s">
        <v>23</v>
      </c>
      <c r="G21" s="46">
        <v>0.12</v>
      </c>
      <c r="H21" s="64">
        <f>J21-I21</f>
        <v>3208.06</v>
      </c>
      <c r="I21" s="65">
        <f>$I$12*0.01</f>
        <v>0</v>
      </c>
      <c r="J21" s="68">
        <v>3208.06</v>
      </c>
    </row>
    <row r="22" spans="1:10" ht="33" customHeight="1">
      <c r="A22" s="21"/>
      <c r="B22" s="151" t="s">
        <v>10</v>
      </c>
      <c r="C22" s="151"/>
      <c r="D22" s="151"/>
      <c r="E22" s="67" t="s">
        <v>8</v>
      </c>
      <c r="F22" s="48" t="s">
        <v>11</v>
      </c>
      <c r="G22" s="46">
        <v>2.22</v>
      </c>
      <c r="H22" s="64">
        <f>J22-I22</f>
        <v>148009.176</v>
      </c>
      <c r="I22" s="65">
        <f>$I$12*0.15</f>
        <v>0</v>
      </c>
      <c r="J22" s="68">
        <f>G22*E3*12</f>
        <v>148009.176</v>
      </c>
    </row>
    <row r="23" spans="1:10" ht="31.5" customHeight="1">
      <c r="A23" s="21"/>
      <c r="B23" s="151" t="s">
        <v>24</v>
      </c>
      <c r="C23" s="160"/>
      <c r="D23" s="160"/>
      <c r="E23" s="70" t="s">
        <v>12</v>
      </c>
      <c r="F23" s="42" t="s">
        <v>13</v>
      </c>
      <c r="G23" s="46">
        <v>0.05</v>
      </c>
      <c r="H23" s="64">
        <f>J23-I23</f>
        <v>7283.36</v>
      </c>
      <c r="I23" s="65">
        <f>$I$12*0.003</f>
        <v>0</v>
      </c>
      <c r="J23" s="68">
        <v>7283.36</v>
      </c>
    </row>
    <row r="24" spans="1:10" ht="28.5" customHeight="1">
      <c r="A24" s="18"/>
      <c r="B24" s="151" t="s">
        <v>35</v>
      </c>
      <c r="C24" s="151"/>
      <c r="D24" s="151"/>
      <c r="E24" s="63" t="s">
        <v>29</v>
      </c>
      <c r="F24" s="32" t="s">
        <v>39</v>
      </c>
      <c r="G24" s="46">
        <v>2.15</v>
      </c>
      <c r="H24" s="64">
        <f aca="true" t="shared" si="0" ref="H24:H29">ROUND(G24*$E$3*12,2)</f>
        <v>143342.22</v>
      </c>
      <c r="I24" s="65">
        <f>$I$12*0.19</f>
        <v>0</v>
      </c>
      <c r="J24" s="66">
        <f aca="true" t="shared" si="1" ref="J24:J29">SUM(H24:I24)</f>
        <v>143342.22</v>
      </c>
    </row>
    <row r="25" spans="1:10" ht="26.25" customHeight="1">
      <c r="A25" s="18"/>
      <c r="B25" s="154" t="s">
        <v>14</v>
      </c>
      <c r="C25" s="154"/>
      <c r="D25" s="154"/>
      <c r="E25" s="63" t="s">
        <v>29</v>
      </c>
      <c r="F25" s="32" t="s">
        <v>39</v>
      </c>
      <c r="G25" s="46">
        <v>0.53</v>
      </c>
      <c r="H25" s="71">
        <f t="shared" si="0"/>
        <v>35335.52</v>
      </c>
      <c r="I25" s="65">
        <v>0</v>
      </c>
      <c r="J25" s="66">
        <f t="shared" si="1"/>
        <v>35335.52</v>
      </c>
    </row>
    <row r="26" spans="1:10" ht="30" customHeight="1">
      <c r="A26" s="18"/>
      <c r="B26" s="148" t="s">
        <v>30</v>
      </c>
      <c r="C26" s="149"/>
      <c r="D26" s="147"/>
      <c r="E26" s="63" t="s">
        <v>29</v>
      </c>
      <c r="F26" s="32" t="s">
        <v>39</v>
      </c>
      <c r="G26" s="34">
        <f>3.52-G27-G28</f>
        <v>2.94</v>
      </c>
      <c r="H26" s="71">
        <f t="shared" si="0"/>
        <v>196012.15</v>
      </c>
      <c r="I26" s="72">
        <f>$I$12*0.18</f>
        <v>0</v>
      </c>
      <c r="J26" s="66">
        <f t="shared" si="1"/>
        <v>196012.15</v>
      </c>
    </row>
    <row r="27" spans="1:10" ht="26.25" customHeight="1">
      <c r="A27" s="21"/>
      <c r="B27" s="151" t="s">
        <v>67</v>
      </c>
      <c r="C27" s="151"/>
      <c r="D27" s="151"/>
      <c r="E27" s="63" t="s">
        <v>29</v>
      </c>
      <c r="F27" s="32" t="s">
        <v>39</v>
      </c>
      <c r="G27" s="34">
        <v>0.29</v>
      </c>
      <c r="H27" s="71">
        <f t="shared" si="0"/>
        <v>19334.53</v>
      </c>
      <c r="I27" s="72">
        <f>$I$12*0.02</f>
        <v>0</v>
      </c>
      <c r="J27" s="66">
        <f t="shared" si="1"/>
        <v>19334.53</v>
      </c>
    </row>
    <row r="28" spans="1:10" ht="28.5" customHeight="1">
      <c r="A28" s="18"/>
      <c r="B28" s="151" t="s">
        <v>68</v>
      </c>
      <c r="C28" s="151"/>
      <c r="D28" s="151"/>
      <c r="E28" s="67" t="s">
        <v>8</v>
      </c>
      <c r="F28" s="32" t="s">
        <v>39</v>
      </c>
      <c r="G28" s="34">
        <v>0.29</v>
      </c>
      <c r="H28" s="71">
        <f t="shared" si="0"/>
        <v>19334.53</v>
      </c>
      <c r="I28" s="72">
        <f>$I$12*0.02</f>
        <v>0</v>
      </c>
      <c r="J28" s="66">
        <f t="shared" si="1"/>
        <v>19334.53</v>
      </c>
    </row>
    <row r="29" spans="1:10" ht="27" customHeight="1">
      <c r="A29" s="18"/>
      <c r="B29" s="160" t="s">
        <v>19</v>
      </c>
      <c r="C29" s="160"/>
      <c r="D29" s="160"/>
      <c r="E29" s="67" t="s">
        <v>29</v>
      </c>
      <c r="F29" s="32" t="s">
        <v>39</v>
      </c>
      <c r="G29" s="42">
        <v>1.45</v>
      </c>
      <c r="H29" s="64">
        <f t="shared" si="0"/>
        <v>96672.66</v>
      </c>
      <c r="I29" s="65">
        <f>$I$12*0.1</f>
        <v>0</v>
      </c>
      <c r="J29" s="66">
        <f t="shared" si="1"/>
        <v>96672.66</v>
      </c>
    </row>
    <row r="30" spans="1:10" ht="15.75">
      <c r="A30" s="18"/>
      <c r="B30" s="161"/>
      <c r="C30" s="162"/>
      <c r="D30" s="163"/>
      <c r="E30" s="67"/>
      <c r="F30" s="32"/>
      <c r="G30" s="42"/>
      <c r="H30" s="71"/>
      <c r="I30" s="60"/>
      <c r="J30" s="73"/>
    </row>
    <row r="31" spans="1:10" ht="15.75">
      <c r="A31" s="18"/>
      <c r="B31" s="161"/>
      <c r="C31" s="162"/>
      <c r="D31" s="163"/>
      <c r="E31" s="67"/>
      <c r="F31" s="32"/>
      <c r="G31" s="42"/>
      <c r="H31" s="71"/>
      <c r="I31" s="60"/>
      <c r="J31" s="73"/>
    </row>
    <row r="32" spans="1:10" ht="15.75">
      <c r="A32" s="18"/>
      <c r="B32" s="153" t="s">
        <v>26</v>
      </c>
      <c r="C32" s="153"/>
      <c r="D32" s="153"/>
      <c r="E32" s="12"/>
      <c r="F32" s="32"/>
      <c r="G32" s="16">
        <f>SUM(G17:G29)</f>
        <v>13.039999999999996</v>
      </c>
      <c r="H32" s="28">
        <f>SUM(H17:H31)</f>
        <v>860298.376</v>
      </c>
      <c r="I32" s="74">
        <f>SUM(I17:I31)</f>
        <v>0</v>
      </c>
      <c r="J32" s="28">
        <f>SUM(J17:J31)</f>
        <v>860298.376</v>
      </c>
    </row>
    <row r="33" spans="1:10" ht="15.75">
      <c r="A33" s="18"/>
      <c r="B33" s="167" t="s">
        <v>69</v>
      </c>
      <c r="C33" s="168"/>
      <c r="D33" s="169"/>
      <c r="E33" s="67" t="s">
        <v>8</v>
      </c>
      <c r="F33" s="32"/>
      <c r="G33" s="16"/>
      <c r="H33" s="28"/>
      <c r="I33" s="74"/>
      <c r="J33" s="28"/>
    </row>
    <row r="34" spans="1:10" ht="25.5">
      <c r="A34" s="18"/>
      <c r="B34" s="167" t="s">
        <v>70</v>
      </c>
      <c r="C34" s="168"/>
      <c r="D34" s="169"/>
      <c r="E34" s="63" t="s">
        <v>29</v>
      </c>
      <c r="F34" s="32"/>
      <c r="G34" s="16"/>
      <c r="H34" s="28"/>
      <c r="I34" s="74"/>
      <c r="J34" s="28"/>
    </row>
    <row r="35" spans="1:10" ht="15.75">
      <c r="A35" s="18"/>
      <c r="B35" s="164"/>
      <c r="C35" s="165"/>
      <c r="D35" s="165"/>
      <c r="E35" s="166"/>
      <c r="F35" s="32"/>
      <c r="G35" s="16"/>
      <c r="H35" s="28"/>
      <c r="I35" s="74"/>
      <c r="J35" s="28"/>
    </row>
    <row r="36" spans="1:10" ht="15" customHeight="1">
      <c r="A36" s="18" t="s">
        <v>71</v>
      </c>
      <c r="B36" s="170" t="s">
        <v>72</v>
      </c>
      <c r="C36" s="171"/>
      <c r="D36" s="171"/>
      <c r="E36" s="172"/>
      <c r="F36" s="32" t="s">
        <v>39</v>
      </c>
      <c r="G36" s="19">
        <f>H36/E3/12</f>
        <v>0.30905583853801066</v>
      </c>
      <c r="H36" s="23">
        <v>20605</v>
      </c>
      <c r="I36" s="75">
        <v>0</v>
      </c>
      <c r="J36" s="61">
        <f>SUM(H36:I36)</f>
        <v>20605</v>
      </c>
    </row>
    <row r="37" spans="1:10" ht="14.25" customHeight="1">
      <c r="A37" s="20"/>
      <c r="B37" s="155" t="s">
        <v>34</v>
      </c>
      <c r="C37" s="155"/>
      <c r="D37" s="155"/>
      <c r="E37" s="155"/>
      <c r="F37" s="155"/>
      <c r="G37" s="5">
        <f>SUM(G32:G36)</f>
        <v>13.349055838538007</v>
      </c>
      <c r="H37" s="29">
        <f>SUM(H32:H36)</f>
        <v>880903.376</v>
      </c>
      <c r="I37" s="76">
        <f>SUM(I32:I36)</f>
        <v>0</v>
      </c>
      <c r="J37" s="29">
        <f>SUM(J32:J36)</f>
        <v>880903.376</v>
      </c>
    </row>
    <row r="38" spans="1:10" ht="15.75">
      <c r="A38" s="18" t="s">
        <v>73</v>
      </c>
      <c r="B38" s="150" t="s">
        <v>74</v>
      </c>
      <c r="C38" s="150"/>
      <c r="D38" s="150"/>
      <c r="E38" s="150"/>
      <c r="F38" s="150"/>
      <c r="G38" s="77"/>
      <c r="H38" s="78">
        <v>0</v>
      </c>
      <c r="I38" s="78">
        <v>0</v>
      </c>
      <c r="J38" s="79">
        <f>SUM(H38:I38)</f>
        <v>0</v>
      </c>
    </row>
    <row r="39" spans="1:10" ht="15" customHeight="1">
      <c r="A39" s="20"/>
      <c r="B39" s="155" t="s">
        <v>75</v>
      </c>
      <c r="C39" s="155"/>
      <c r="D39" s="155"/>
      <c r="E39" s="155"/>
      <c r="F39" s="155"/>
      <c r="G39" s="5">
        <f>SUM(G37:G38)</f>
        <v>13.349055838538007</v>
      </c>
      <c r="H39" s="29">
        <f>SUM(H37:H38)</f>
        <v>880903.376</v>
      </c>
      <c r="I39" s="76">
        <f>SUM(I37:I38)</f>
        <v>0</v>
      </c>
      <c r="J39" s="29">
        <f>SUM(J37:J38)</f>
        <v>880903.376</v>
      </c>
    </row>
    <row r="40" spans="1:10" ht="15.75">
      <c r="A40" s="18">
        <v>3</v>
      </c>
      <c r="B40" s="156" t="s">
        <v>110</v>
      </c>
      <c r="C40" s="157"/>
      <c r="D40" s="157"/>
      <c r="E40" s="157"/>
      <c r="F40" s="157"/>
      <c r="G40" s="158"/>
      <c r="H40" s="80">
        <f>H14-H39</f>
        <v>103290.02399999998</v>
      </c>
      <c r="I40" s="64">
        <f>I14-I39</f>
        <v>0</v>
      </c>
      <c r="J40" s="81">
        <f>J14-J39</f>
        <v>103290.02399999998</v>
      </c>
    </row>
    <row r="41" spans="2:6" ht="15.75">
      <c r="B41" s="26"/>
      <c r="F41" s="26"/>
    </row>
    <row r="42" spans="2:6" ht="15.75">
      <c r="B42" s="30" t="s">
        <v>37</v>
      </c>
      <c r="C42" s="30"/>
      <c r="D42" s="30"/>
      <c r="E42" s="26"/>
      <c r="F42" s="26"/>
    </row>
    <row r="43" spans="2:4" ht="15.75">
      <c r="B43" s="30"/>
      <c r="C43" s="30"/>
      <c r="D43" s="30"/>
    </row>
    <row r="44" spans="2:4" ht="15.75">
      <c r="B44" s="33" t="s">
        <v>108</v>
      </c>
      <c r="C44" s="33"/>
      <c r="D44" s="31"/>
    </row>
    <row r="45" spans="2:4" ht="15.75">
      <c r="B45" s="159" t="s">
        <v>41</v>
      </c>
      <c r="C45" s="159"/>
      <c r="D45" s="159"/>
    </row>
  </sheetData>
  <sheetProtection/>
  <mergeCells count="37">
    <mergeCell ref="B18:D18"/>
    <mergeCell ref="B8:F8"/>
    <mergeCell ref="B9:F9"/>
    <mergeCell ref="A1:J1"/>
    <mergeCell ref="A2:J2"/>
    <mergeCell ref="B7:D7"/>
    <mergeCell ref="H7:J7"/>
    <mergeCell ref="B28:D28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38:F38"/>
    <mergeCell ref="B19:D19"/>
    <mergeCell ref="B20:D20"/>
    <mergeCell ref="B31:D31"/>
    <mergeCell ref="B32:D32"/>
    <mergeCell ref="B23:D23"/>
    <mergeCell ref="B24:D24"/>
    <mergeCell ref="B25:D25"/>
    <mergeCell ref="B26:D26"/>
    <mergeCell ref="B27:D27"/>
    <mergeCell ref="B39:F39"/>
    <mergeCell ref="B40:G40"/>
    <mergeCell ref="B45:D45"/>
    <mergeCell ref="B29:D29"/>
    <mergeCell ref="B30:D30"/>
    <mergeCell ref="B35:E35"/>
    <mergeCell ref="B33:D33"/>
    <mergeCell ref="B34:D34"/>
    <mergeCell ref="B36:E36"/>
    <mergeCell ref="B37:F37"/>
  </mergeCells>
  <printOptions/>
  <pageMargins left="0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5">
      <selection activeCell="H43" sqref="H4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875" style="0" customWidth="1"/>
    <col min="6" max="6" width="5.875" style="0" hidden="1" customWidth="1"/>
    <col min="7" max="7" width="7.375" style="0" bestFit="1" customWidth="1"/>
    <col min="8" max="8" width="12.625" style="0" customWidth="1"/>
    <col min="9" max="9" width="9.875" style="0" bestFit="1" customWidth="1"/>
  </cols>
  <sheetData>
    <row r="1" spans="1:8" ht="121.5" customHeight="1">
      <c r="A1" s="178" t="s">
        <v>111</v>
      </c>
      <c r="B1" s="178"/>
      <c r="C1" s="178"/>
      <c r="D1" s="178"/>
      <c r="E1" s="178"/>
      <c r="F1" s="178"/>
      <c r="G1" s="178"/>
      <c r="H1" s="178"/>
    </row>
    <row r="2" spans="1:6" ht="18.75">
      <c r="A2" s="1" t="s">
        <v>36</v>
      </c>
      <c r="B2" s="1" t="s">
        <v>40</v>
      </c>
      <c r="C2" s="2"/>
      <c r="D2" s="2" t="s">
        <v>0</v>
      </c>
      <c r="E2" s="4">
        <v>5555.9</v>
      </c>
      <c r="F2" s="2"/>
    </row>
    <row r="3" spans="2:6" ht="15.75">
      <c r="B3" s="3" t="s">
        <v>1</v>
      </c>
      <c r="C3" s="22">
        <v>9</v>
      </c>
      <c r="D3" s="2" t="s">
        <v>2</v>
      </c>
      <c r="E3" s="4">
        <v>108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42" customHeight="1">
      <c r="A6" s="82" t="s">
        <v>31</v>
      </c>
      <c r="B6" s="186" t="s">
        <v>53</v>
      </c>
      <c r="C6" s="187"/>
      <c r="D6" s="188"/>
      <c r="E6" s="38" t="s">
        <v>6</v>
      </c>
      <c r="F6" s="38" t="s">
        <v>7</v>
      </c>
      <c r="G6" s="83" t="s">
        <v>87</v>
      </c>
      <c r="H6" s="84" t="s">
        <v>45</v>
      </c>
    </row>
    <row r="7" spans="1:8" ht="15.75" customHeight="1">
      <c r="A7" s="39">
        <v>1</v>
      </c>
      <c r="B7" s="189" t="s">
        <v>46</v>
      </c>
      <c r="C7" s="189"/>
      <c r="D7" s="189"/>
      <c r="E7" s="189"/>
      <c r="F7" s="189"/>
      <c r="G7" s="40"/>
      <c r="H7" s="41"/>
    </row>
    <row r="8" spans="1:8" ht="15.75" customHeight="1">
      <c r="A8" s="39"/>
      <c r="B8" s="173" t="s">
        <v>88</v>
      </c>
      <c r="C8" s="173"/>
      <c r="D8" s="173"/>
      <c r="E8" s="173"/>
      <c r="F8" s="173"/>
      <c r="G8" s="19">
        <f>G31</f>
        <v>14.919999999999998</v>
      </c>
      <c r="H8" s="41">
        <f>ROUND($E$2*G8*12,0)</f>
        <v>994728</v>
      </c>
    </row>
    <row r="9" spans="1:8" ht="15.75" customHeight="1">
      <c r="A9" s="39"/>
      <c r="B9" s="192" t="s">
        <v>47</v>
      </c>
      <c r="C9" s="192"/>
      <c r="D9" s="192"/>
      <c r="E9" s="192"/>
      <c r="F9" s="192"/>
      <c r="G9" s="18">
        <v>0.78</v>
      </c>
      <c r="H9" s="41">
        <f>ROUND($E$2*G9*12,0)</f>
        <v>52003</v>
      </c>
    </row>
    <row r="10" spans="1:8" ht="15.75" customHeight="1">
      <c r="A10" s="39">
        <v>2</v>
      </c>
      <c r="B10" s="174" t="s">
        <v>32</v>
      </c>
      <c r="C10" s="174"/>
      <c r="D10" s="174"/>
      <c r="E10" s="174"/>
      <c r="F10" s="174"/>
      <c r="G10" s="42"/>
      <c r="H10" s="41"/>
    </row>
    <row r="11" spans="1:8" ht="18.75" customHeight="1">
      <c r="A11" s="39" t="s">
        <v>64</v>
      </c>
      <c r="B11" s="15" t="s">
        <v>33</v>
      </c>
      <c r="C11" s="15"/>
      <c r="D11" s="15"/>
      <c r="E11" s="15"/>
      <c r="F11" s="5"/>
      <c r="G11" s="43"/>
      <c r="H11" s="41"/>
    </row>
    <row r="12" spans="1:8" ht="27" customHeight="1">
      <c r="A12" s="44"/>
      <c r="B12" s="193" t="s">
        <v>106</v>
      </c>
      <c r="C12" s="193"/>
      <c r="D12" s="193"/>
      <c r="E12" s="63" t="s">
        <v>28</v>
      </c>
      <c r="F12" s="45" t="s">
        <v>22</v>
      </c>
      <c r="G12" s="46">
        <v>1.26</v>
      </c>
      <c r="H12" s="47">
        <f aca="true" t="shared" si="0" ref="H12:H31">ROUND($E$2*G12*12,0)</f>
        <v>84005</v>
      </c>
    </row>
    <row r="13" spans="1:9" ht="15.75" customHeight="1">
      <c r="A13" s="44"/>
      <c r="B13" s="193" t="s">
        <v>16</v>
      </c>
      <c r="C13" s="193"/>
      <c r="D13" s="193"/>
      <c r="E13" s="63" t="s">
        <v>28</v>
      </c>
      <c r="F13" s="45" t="s">
        <v>17</v>
      </c>
      <c r="G13" s="46">
        <v>0.29</v>
      </c>
      <c r="H13" s="47">
        <f t="shared" si="0"/>
        <v>19335</v>
      </c>
      <c r="I13" s="24"/>
    </row>
    <row r="14" spans="1:8" ht="18.75" customHeight="1">
      <c r="A14" s="44"/>
      <c r="B14" s="190" t="s">
        <v>21</v>
      </c>
      <c r="C14" s="190"/>
      <c r="D14" s="190"/>
      <c r="E14" s="67" t="s">
        <v>65</v>
      </c>
      <c r="F14" s="48" t="s">
        <v>18</v>
      </c>
      <c r="G14" s="46">
        <v>1.02</v>
      </c>
      <c r="H14" s="47">
        <f t="shared" si="0"/>
        <v>68004</v>
      </c>
    </row>
    <row r="15" spans="1:8" ht="15.75" customHeight="1">
      <c r="A15" s="44"/>
      <c r="B15" s="191" t="s">
        <v>27</v>
      </c>
      <c r="C15" s="191"/>
      <c r="D15" s="191"/>
      <c r="E15" s="69" t="s">
        <v>8</v>
      </c>
      <c r="F15" s="49" t="s">
        <v>9</v>
      </c>
      <c r="G15" s="46">
        <v>0.53</v>
      </c>
      <c r="H15" s="47">
        <f t="shared" si="0"/>
        <v>35336</v>
      </c>
    </row>
    <row r="16" spans="1:8" ht="31.5" customHeight="1">
      <c r="A16" s="44"/>
      <c r="B16" s="190" t="s">
        <v>25</v>
      </c>
      <c r="C16" s="190"/>
      <c r="D16" s="190"/>
      <c r="E16" s="67" t="s">
        <v>66</v>
      </c>
      <c r="F16" s="48" t="s">
        <v>23</v>
      </c>
      <c r="G16" s="46">
        <v>0.12</v>
      </c>
      <c r="H16" s="47">
        <f t="shared" si="0"/>
        <v>8000</v>
      </c>
    </row>
    <row r="17" spans="1:8" ht="15.75" customHeight="1">
      <c r="A17" s="44"/>
      <c r="B17" s="190" t="s">
        <v>10</v>
      </c>
      <c r="C17" s="190"/>
      <c r="D17" s="190"/>
      <c r="E17" s="67" t="s">
        <v>8</v>
      </c>
      <c r="F17" s="48" t="s">
        <v>11</v>
      </c>
      <c r="G17" s="46">
        <v>2.29</v>
      </c>
      <c r="H17" s="47">
        <f t="shared" si="0"/>
        <v>152676</v>
      </c>
    </row>
    <row r="18" spans="1:8" ht="15.75" customHeight="1">
      <c r="A18" s="44"/>
      <c r="B18" s="190" t="s">
        <v>24</v>
      </c>
      <c r="C18" s="194"/>
      <c r="D18" s="194"/>
      <c r="E18" s="70" t="s">
        <v>12</v>
      </c>
      <c r="F18" s="42" t="s">
        <v>48</v>
      </c>
      <c r="G18" s="46">
        <v>0.05</v>
      </c>
      <c r="H18" s="47">
        <f t="shared" si="0"/>
        <v>3334</v>
      </c>
    </row>
    <row r="19" spans="1:8" ht="33" customHeight="1">
      <c r="A19" s="44"/>
      <c r="B19" s="190" t="s">
        <v>35</v>
      </c>
      <c r="C19" s="190"/>
      <c r="D19" s="190"/>
      <c r="E19" s="63" t="s">
        <v>29</v>
      </c>
      <c r="F19" s="48" t="s">
        <v>39</v>
      </c>
      <c r="G19" s="46">
        <v>2.21</v>
      </c>
      <c r="H19" s="47">
        <f t="shared" si="0"/>
        <v>147342</v>
      </c>
    </row>
    <row r="20" spans="1:8" ht="36.75" customHeight="1">
      <c r="A20" s="44"/>
      <c r="B20" s="193" t="s">
        <v>14</v>
      </c>
      <c r="C20" s="193"/>
      <c r="D20" s="193"/>
      <c r="E20" s="63" t="s">
        <v>49</v>
      </c>
      <c r="F20" s="48" t="s">
        <v>39</v>
      </c>
      <c r="G20" s="46">
        <v>0.55</v>
      </c>
      <c r="H20" s="47">
        <f t="shared" si="0"/>
        <v>36669</v>
      </c>
    </row>
    <row r="21" spans="1:8" ht="36.75" customHeight="1">
      <c r="A21" s="44"/>
      <c r="B21" s="190" t="s">
        <v>30</v>
      </c>
      <c r="C21" s="194"/>
      <c r="D21" s="194"/>
      <c r="E21" s="63" t="s">
        <v>29</v>
      </c>
      <c r="F21" s="48" t="s">
        <v>39</v>
      </c>
      <c r="G21" s="46">
        <f>3.62-G22-G23</f>
        <v>3.04</v>
      </c>
      <c r="H21" s="47">
        <f t="shared" si="0"/>
        <v>202679</v>
      </c>
    </row>
    <row r="22" spans="1:8" ht="15.75" customHeight="1">
      <c r="A22" s="44"/>
      <c r="B22" s="190" t="s">
        <v>89</v>
      </c>
      <c r="C22" s="190"/>
      <c r="D22" s="190"/>
      <c r="E22" s="67" t="s">
        <v>8</v>
      </c>
      <c r="F22" s="48" t="s">
        <v>39</v>
      </c>
      <c r="G22" s="46">
        <v>0.29</v>
      </c>
      <c r="H22" s="47">
        <f t="shared" si="0"/>
        <v>19335</v>
      </c>
    </row>
    <row r="23" spans="1:8" ht="36.75" customHeight="1">
      <c r="A23" s="44"/>
      <c r="B23" s="190" t="s">
        <v>68</v>
      </c>
      <c r="C23" s="190"/>
      <c r="D23" s="190"/>
      <c r="E23" s="67" t="s">
        <v>8</v>
      </c>
      <c r="F23" s="48" t="s">
        <v>39</v>
      </c>
      <c r="G23" s="46">
        <v>0.29</v>
      </c>
      <c r="H23" s="47">
        <f t="shared" si="0"/>
        <v>19335</v>
      </c>
    </row>
    <row r="24" spans="1:8" ht="34.5" customHeight="1">
      <c r="A24" s="44"/>
      <c r="B24" s="194" t="s">
        <v>19</v>
      </c>
      <c r="C24" s="194"/>
      <c r="D24" s="194"/>
      <c r="E24" s="63" t="s">
        <v>29</v>
      </c>
      <c r="F24" s="48" t="s">
        <v>39</v>
      </c>
      <c r="G24" s="46">
        <v>1.49</v>
      </c>
      <c r="H24" s="47">
        <f t="shared" si="0"/>
        <v>99339</v>
      </c>
    </row>
    <row r="25" spans="1:8" ht="15.75">
      <c r="A25" s="18"/>
      <c r="B25" s="167" t="s">
        <v>69</v>
      </c>
      <c r="C25" s="168"/>
      <c r="D25" s="169"/>
      <c r="E25" s="67" t="s">
        <v>8</v>
      </c>
      <c r="F25" s="48"/>
      <c r="G25" s="46"/>
      <c r="H25" s="47"/>
    </row>
    <row r="26" spans="1:8" ht="31.5" customHeight="1">
      <c r="A26" s="18"/>
      <c r="B26" s="167" t="s">
        <v>70</v>
      </c>
      <c r="C26" s="168"/>
      <c r="D26" s="169"/>
      <c r="E26" s="63" t="s">
        <v>29</v>
      </c>
      <c r="F26" s="48"/>
      <c r="G26" s="46"/>
      <c r="H26" s="47"/>
    </row>
    <row r="27" spans="1:8" ht="15.75" customHeight="1">
      <c r="A27" s="44"/>
      <c r="B27" s="161"/>
      <c r="C27" s="162"/>
      <c r="D27" s="163"/>
      <c r="E27" s="63"/>
      <c r="F27" s="48"/>
      <c r="G27" s="46"/>
      <c r="H27" s="47"/>
    </row>
    <row r="28" spans="1:8" ht="15.75">
      <c r="A28" s="44"/>
      <c r="B28" s="161"/>
      <c r="C28" s="162"/>
      <c r="D28" s="163"/>
      <c r="E28" s="63"/>
      <c r="F28" s="48"/>
      <c r="G28" s="46"/>
      <c r="H28" s="47"/>
    </row>
    <row r="29" spans="1:8" ht="15.75">
      <c r="A29" s="44"/>
      <c r="B29" s="164" t="s">
        <v>26</v>
      </c>
      <c r="C29" s="165"/>
      <c r="D29" s="166"/>
      <c r="E29" s="12"/>
      <c r="F29" s="48"/>
      <c r="G29" s="16">
        <f>SUM(G12:G28)</f>
        <v>13.429999999999998</v>
      </c>
      <c r="H29" s="47">
        <f t="shared" si="0"/>
        <v>895389</v>
      </c>
    </row>
    <row r="30" spans="1:8" ht="27" customHeight="1">
      <c r="A30" s="39" t="s">
        <v>71</v>
      </c>
      <c r="B30" s="170" t="s">
        <v>112</v>
      </c>
      <c r="C30" s="171"/>
      <c r="D30" s="171"/>
      <c r="E30" s="172"/>
      <c r="F30" s="35" t="s">
        <v>50</v>
      </c>
      <c r="G30" s="19">
        <v>1.49</v>
      </c>
      <c r="H30" s="47">
        <v>28800</v>
      </c>
    </row>
    <row r="31" spans="1:8" ht="15.75" customHeight="1">
      <c r="A31" s="39"/>
      <c r="B31" s="196" t="s">
        <v>90</v>
      </c>
      <c r="C31" s="196"/>
      <c r="D31" s="196"/>
      <c r="E31" s="196"/>
      <c r="F31" s="196"/>
      <c r="G31" s="16">
        <f>SUM(G29:G30)</f>
        <v>14.919999999999998</v>
      </c>
      <c r="H31" s="85">
        <f t="shared" si="0"/>
        <v>994728</v>
      </c>
    </row>
    <row r="32" spans="1:8" ht="31.5" customHeight="1" thickBot="1">
      <c r="A32" s="86">
        <v>3</v>
      </c>
      <c r="B32" s="197" t="s">
        <v>113</v>
      </c>
      <c r="C32" s="198"/>
      <c r="D32" s="199"/>
      <c r="E32" s="87"/>
      <c r="F32" s="88" t="s">
        <v>50</v>
      </c>
      <c r="G32" s="89">
        <v>0.78</v>
      </c>
      <c r="H32" s="90">
        <f>ROUND($E$2*G32*12,0)</f>
        <v>52003</v>
      </c>
    </row>
    <row r="33" spans="2:8" ht="54.75" customHeight="1">
      <c r="B33" s="195" t="s">
        <v>114</v>
      </c>
      <c r="C33" s="195"/>
      <c r="D33" s="195"/>
      <c r="E33" s="195"/>
      <c r="G33" s="50"/>
      <c r="H33" s="51"/>
    </row>
    <row r="34" spans="2:8" ht="19.5" customHeight="1">
      <c r="B34" s="91"/>
      <c r="C34" s="91"/>
      <c r="D34" s="91"/>
      <c r="E34" s="91"/>
      <c r="G34" s="50"/>
      <c r="H34" s="51"/>
    </row>
    <row r="35" spans="2:7" ht="15.75" customHeight="1">
      <c r="B35" s="30" t="s">
        <v>37</v>
      </c>
      <c r="C35" s="30"/>
      <c r="D35" s="30"/>
      <c r="E35" s="26"/>
      <c r="G35" s="50"/>
    </row>
  </sheetData>
  <sheetProtection/>
  <mergeCells count="28">
    <mergeCell ref="B26:D26"/>
    <mergeCell ref="B27:D27"/>
    <mergeCell ref="B28:D28"/>
    <mergeCell ref="B29:D29"/>
    <mergeCell ref="B33:E33"/>
    <mergeCell ref="B30:E30"/>
    <mergeCell ref="B31:F31"/>
    <mergeCell ref="B32:D32"/>
    <mergeCell ref="B18:D18"/>
    <mergeCell ref="B19:D19"/>
    <mergeCell ref="B20:D20"/>
    <mergeCell ref="B21:D21"/>
    <mergeCell ref="B22:D22"/>
    <mergeCell ref="B23:D23"/>
    <mergeCell ref="B24:D24"/>
    <mergeCell ref="B25:D25"/>
    <mergeCell ref="B9:F9"/>
    <mergeCell ref="B10:F10"/>
    <mergeCell ref="B12:D12"/>
    <mergeCell ref="B13:D13"/>
    <mergeCell ref="B14:D14"/>
    <mergeCell ref="B15:D15"/>
    <mergeCell ref="B16:D16"/>
    <mergeCell ref="B17:D17"/>
    <mergeCell ref="A1:H1"/>
    <mergeCell ref="B6:D6"/>
    <mergeCell ref="B7:F7"/>
    <mergeCell ref="B8:F8"/>
  </mergeCells>
  <printOptions/>
  <pageMargins left="0.3937007874015748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E8" sqref="E8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6.875" style="0" customWidth="1"/>
    <col min="6" max="6" width="22.50390625" style="0" hidden="1" customWidth="1"/>
    <col min="7" max="7" width="13.00390625" style="0" customWidth="1"/>
    <col min="8" max="8" width="12.625" style="0" customWidth="1"/>
    <col min="9" max="9" width="9.875" style="0" bestFit="1" customWidth="1"/>
  </cols>
  <sheetData>
    <row r="1" spans="1:8" ht="69.75" customHeight="1">
      <c r="A1" s="97"/>
      <c r="B1" s="97"/>
      <c r="C1" s="97"/>
      <c r="D1" s="200" t="s">
        <v>115</v>
      </c>
      <c r="E1" s="200"/>
      <c r="F1" s="200"/>
      <c r="G1" s="200"/>
      <c r="H1" s="200"/>
    </row>
    <row r="2" spans="1:8" ht="15.75" customHeight="1">
      <c r="A2" s="97"/>
      <c r="B2" s="97"/>
      <c r="C2" s="97"/>
      <c r="D2" s="98"/>
      <c r="E2" s="98"/>
      <c r="F2" s="98"/>
      <c r="G2" s="98"/>
      <c r="H2" s="98"/>
    </row>
    <row r="3" spans="1:8" ht="15.75" customHeight="1">
      <c r="A3" s="97"/>
      <c r="B3" s="97"/>
      <c r="C3" s="97"/>
      <c r="D3" s="98"/>
      <c r="E3" s="98"/>
      <c r="F3" s="98"/>
      <c r="G3" s="98"/>
      <c r="H3" s="98"/>
    </row>
    <row r="4" spans="1:8" ht="19.5">
      <c r="A4" s="201" t="s">
        <v>116</v>
      </c>
      <c r="B4" s="201"/>
      <c r="C4" s="201"/>
      <c r="D4" s="201"/>
      <c r="E4" s="201"/>
      <c r="F4" s="201"/>
      <c r="G4" s="201"/>
      <c r="H4" s="201"/>
    </row>
    <row r="5" spans="1:8" ht="16.5" customHeight="1">
      <c r="A5" s="92"/>
      <c r="B5" s="92"/>
      <c r="C5" s="92"/>
      <c r="D5" s="92"/>
      <c r="E5" s="92"/>
      <c r="F5" s="92"/>
      <c r="G5" s="92"/>
      <c r="H5" s="92"/>
    </row>
    <row r="6" spans="1:8" ht="18.75" customHeight="1">
      <c r="A6" s="92"/>
      <c r="B6" s="202" t="s">
        <v>129</v>
      </c>
      <c r="C6" s="202"/>
      <c r="D6" s="202"/>
      <c r="E6" s="202"/>
      <c r="F6" s="97"/>
      <c r="G6" s="97"/>
      <c r="H6" s="97"/>
    </row>
    <row r="7" spans="1:8" ht="20.25">
      <c r="A7" s="92"/>
      <c r="B7" s="99"/>
      <c r="C7" s="99"/>
      <c r="D7" s="99"/>
      <c r="E7" s="99"/>
      <c r="F7" s="97"/>
      <c r="G7" s="97"/>
      <c r="H7" s="97"/>
    </row>
    <row r="8" spans="1:6" ht="18.75">
      <c r="A8" s="1" t="s">
        <v>36</v>
      </c>
      <c r="B8" s="1" t="s">
        <v>40</v>
      </c>
      <c r="C8" s="2"/>
      <c r="D8" s="2" t="s">
        <v>0</v>
      </c>
      <c r="E8" s="4">
        <v>5558.9</v>
      </c>
      <c r="F8" s="2"/>
    </row>
    <row r="9" spans="2:6" ht="15.75">
      <c r="B9" s="3" t="s">
        <v>1</v>
      </c>
      <c r="C9" s="22">
        <v>9</v>
      </c>
      <c r="D9" s="2" t="s">
        <v>2</v>
      </c>
      <c r="E9" s="4">
        <v>108</v>
      </c>
      <c r="F9" s="2"/>
    </row>
    <row r="10" spans="2:7" ht="15.75">
      <c r="B10" s="3" t="s">
        <v>3</v>
      </c>
      <c r="C10" s="4">
        <v>3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94.5">
      <c r="A12" s="82" t="s">
        <v>31</v>
      </c>
      <c r="B12" s="186" t="s">
        <v>53</v>
      </c>
      <c r="C12" s="187"/>
      <c r="D12" s="188"/>
      <c r="E12" s="38" t="s">
        <v>6</v>
      </c>
      <c r="F12" s="38" t="s">
        <v>7</v>
      </c>
      <c r="G12" s="101" t="s">
        <v>131</v>
      </c>
      <c r="H12" s="102" t="s">
        <v>132</v>
      </c>
    </row>
    <row r="13" spans="1:8" ht="26.25" customHeight="1">
      <c r="A13" s="93">
        <v>1</v>
      </c>
      <c r="B13" s="180">
        <v>2</v>
      </c>
      <c r="C13" s="181"/>
      <c r="D13" s="182"/>
      <c r="E13" s="94">
        <v>3</v>
      </c>
      <c r="F13" s="94"/>
      <c r="G13" s="95">
        <v>4</v>
      </c>
      <c r="H13" s="96" t="s">
        <v>133</v>
      </c>
    </row>
    <row r="14" spans="1:8" ht="18.75">
      <c r="A14" s="39" t="s">
        <v>42</v>
      </c>
      <c r="B14" s="174" t="s">
        <v>32</v>
      </c>
      <c r="C14" s="174"/>
      <c r="D14" s="174"/>
      <c r="E14" s="174"/>
      <c r="F14" s="174"/>
      <c r="G14" s="42"/>
      <c r="H14" s="41"/>
    </row>
    <row r="15" spans="1:8" ht="18.75" customHeight="1">
      <c r="A15" s="100" t="s">
        <v>125</v>
      </c>
      <c r="B15" s="15" t="s">
        <v>33</v>
      </c>
      <c r="C15" s="15"/>
      <c r="D15" s="15"/>
      <c r="E15" s="15"/>
      <c r="F15" s="5"/>
      <c r="G15" s="43"/>
      <c r="H15" s="41"/>
    </row>
    <row r="16" spans="1:8" ht="31.5">
      <c r="A16" s="44"/>
      <c r="B16" s="193" t="s">
        <v>130</v>
      </c>
      <c r="C16" s="193"/>
      <c r="D16" s="193"/>
      <c r="E16" s="63" t="s">
        <v>28</v>
      </c>
      <c r="F16" s="45" t="s">
        <v>22</v>
      </c>
      <c r="G16" s="46">
        <v>1.29</v>
      </c>
      <c r="H16" s="47">
        <f aca="true" t="shared" si="0" ref="H16:H28">ROUND($E$8*G16*3,0)</f>
        <v>21513</v>
      </c>
    </row>
    <row r="17" spans="1:9" ht="15.75">
      <c r="A17" s="44"/>
      <c r="B17" s="193" t="s">
        <v>16</v>
      </c>
      <c r="C17" s="193"/>
      <c r="D17" s="193"/>
      <c r="E17" s="63" t="s">
        <v>28</v>
      </c>
      <c r="F17" s="45" t="s">
        <v>17</v>
      </c>
      <c r="G17" s="46">
        <v>0.3</v>
      </c>
      <c r="H17" s="47">
        <f t="shared" si="0"/>
        <v>5003</v>
      </c>
      <c r="I17" s="24"/>
    </row>
    <row r="18" spans="1:8" ht="15.75">
      <c r="A18" s="44"/>
      <c r="B18" s="190" t="s">
        <v>21</v>
      </c>
      <c r="C18" s="190"/>
      <c r="D18" s="190"/>
      <c r="E18" s="67" t="s">
        <v>65</v>
      </c>
      <c r="F18" s="48" t="s">
        <v>18</v>
      </c>
      <c r="G18" s="46">
        <v>1.05</v>
      </c>
      <c r="H18" s="47">
        <f t="shared" si="0"/>
        <v>17511</v>
      </c>
    </row>
    <row r="19" spans="1:8" ht="15.75" customHeight="1">
      <c r="A19" s="44"/>
      <c r="B19" s="191" t="s">
        <v>27</v>
      </c>
      <c r="C19" s="191"/>
      <c r="D19" s="191"/>
      <c r="E19" s="69" t="s">
        <v>8</v>
      </c>
      <c r="F19" s="49" t="s">
        <v>9</v>
      </c>
      <c r="G19" s="46">
        <v>0.54</v>
      </c>
      <c r="H19" s="47">
        <f t="shared" si="0"/>
        <v>9005</v>
      </c>
    </row>
    <row r="20" spans="1:8" ht="53.25" customHeight="1">
      <c r="A20" s="44"/>
      <c r="B20" s="190" t="s">
        <v>25</v>
      </c>
      <c r="C20" s="190"/>
      <c r="D20" s="190"/>
      <c r="E20" s="67" t="s">
        <v>66</v>
      </c>
      <c r="F20" s="48" t="s">
        <v>23</v>
      </c>
      <c r="G20" s="46">
        <v>0.13</v>
      </c>
      <c r="H20" s="47">
        <f t="shared" si="0"/>
        <v>2168</v>
      </c>
    </row>
    <row r="21" spans="1:8" ht="15.75">
      <c r="A21" s="44"/>
      <c r="B21" s="190" t="s">
        <v>10</v>
      </c>
      <c r="C21" s="190"/>
      <c r="D21" s="190"/>
      <c r="E21" s="67" t="s">
        <v>8</v>
      </c>
      <c r="F21" s="48" t="s">
        <v>11</v>
      </c>
      <c r="G21" s="46">
        <v>2.35</v>
      </c>
      <c r="H21" s="47">
        <f t="shared" si="0"/>
        <v>39190</v>
      </c>
    </row>
    <row r="22" spans="1:8" ht="15.75" customHeight="1">
      <c r="A22" s="44"/>
      <c r="B22" s="190" t="s">
        <v>24</v>
      </c>
      <c r="C22" s="194"/>
      <c r="D22" s="194"/>
      <c r="E22" s="70" t="s">
        <v>12</v>
      </c>
      <c r="F22" s="42" t="s">
        <v>48</v>
      </c>
      <c r="G22" s="46">
        <v>0.05</v>
      </c>
      <c r="H22" s="47">
        <f t="shared" si="0"/>
        <v>834</v>
      </c>
    </row>
    <row r="23" spans="1:8" ht="51">
      <c r="A23" s="44"/>
      <c r="B23" s="190" t="s">
        <v>35</v>
      </c>
      <c r="C23" s="190"/>
      <c r="D23" s="190"/>
      <c r="E23" s="63" t="s">
        <v>128</v>
      </c>
      <c r="F23" s="48" t="s">
        <v>39</v>
      </c>
      <c r="G23" s="46">
        <v>1.63</v>
      </c>
      <c r="H23" s="47">
        <f t="shared" si="0"/>
        <v>27183</v>
      </c>
    </row>
    <row r="24" spans="1:8" ht="51">
      <c r="A24" s="44"/>
      <c r="B24" s="193" t="s">
        <v>14</v>
      </c>
      <c r="C24" s="193"/>
      <c r="D24" s="193"/>
      <c r="E24" s="63" t="s">
        <v>49</v>
      </c>
      <c r="F24" s="48" t="s">
        <v>39</v>
      </c>
      <c r="G24" s="46">
        <v>0.56</v>
      </c>
      <c r="H24" s="47">
        <f t="shared" si="0"/>
        <v>9339</v>
      </c>
    </row>
    <row r="25" spans="1:8" ht="30.75" customHeight="1">
      <c r="A25" s="44"/>
      <c r="B25" s="190" t="s">
        <v>30</v>
      </c>
      <c r="C25" s="194"/>
      <c r="D25" s="194"/>
      <c r="E25" s="63" t="s">
        <v>29</v>
      </c>
      <c r="F25" s="48" t="s">
        <v>39</v>
      </c>
      <c r="G25" s="46">
        <f>4.38-G26-G27</f>
        <v>3.7600000000000002</v>
      </c>
      <c r="H25" s="47">
        <f t="shared" si="0"/>
        <v>62704</v>
      </c>
    </row>
    <row r="26" spans="1:8" ht="15.75" customHeight="1">
      <c r="A26" s="44"/>
      <c r="B26" s="190" t="s">
        <v>89</v>
      </c>
      <c r="C26" s="190"/>
      <c r="D26" s="190"/>
      <c r="E26" s="67" t="s">
        <v>8</v>
      </c>
      <c r="F26" s="48" t="s">
        <v>39</v>
      </c>
      <c r="G26" s="46">
        <v>0.31</v>
      </c>
      <c r="H26" s="47">
        <f t="shared" si="0"/>
        <v>5170</v>
      </c>
    </row>
    <row r="27" spans="1:8" ht="15.75">
      <c r="A27" s="44"/>
      <c r="B27" s="190" t="s">
        <v>68</v>
      </c>
      <c r="C27" s="190"/>
      <c r="D27" s="190"/>
      <c r="E27" s="67" t="s">
        <v>8</v>
      </c>
      <c r="F27" s="48" t="s">
        <v>39</v>
      </c>
      <c r="G27" s="46">
        <v>0.31</v>
      </c>
      <c r="H27" s="47">
        <f t="shared" si="0"/>
        <v>5170</v>
      </c>
    </row>
    <row r="28" spans="1:8" ht="25.5">
      <c r="A28" s="44"/>
      <c r="B28" s="194" t="s">
        <v>19</v>
      </c>
      <c r="C28" s="194"/>
      <c r="D28" s="194"/>
      <c r="E28" s="63" t="s">
        <v>29</v>
      </c>
      <c r="F28" s="48" t="s">
        <v>39</v>
      </c>
      <c r="G28" s="46">
        <v>1.54</v>
      </c>
      <c r="H28" s="47">
        <f t="shared" si="0"/>
        <v>25682</v>
      </c>
    </row>
    <row r="29" spans="1:8" ht="15.75" hidden="1">
      <c r="A29" s="44"/>
      <c r="B29" s="161"/>
      <c r="C29" s="162"/>
      <c r="D29" s="163"/>
      <c r="E29" s="63"/>
      <c r="F29" s="48"/>
      <c r="G29" s="46"/>
      <c r="H29" s="47">
        <f>ROUND($E$8*G29*4,0)</f>
        <v>0</v>
      </c>
    </row>
    <row r="30" spans="1:8" ht="15.75">
      <c r="A30" s="44"/>
      <c r="B30" s="164" t="s">
        <v>26</v>
      </c>
      <c r="C30" s="165"/>
      <c r="D30" s="166"/>
      <c r="E30" s="12"/>
      <c r="F30" s="48"/>
      <c r="G30" s="16">
        <f>SUM(G16:G29)</f>
        <v>13.82</v>
      </c>
      <c r="H30" s="47">
        <f>ROUND($E$8*G30*3,0)</f>
        <v>230472</v>
      </c>
    </row>
    <row r="31" spans="1:8" ht="15.75">
      <c r="A31" s="39" t="s">
        <v>126</v>
      </c>
      <c r="B31" s="170" t="s">
        <v>117</v>
      </c>
      <c r="C31" s="171"/>
      <c r="D31" s="172"/>
      <c r="E31" s="67" t="s">
        <v>118</v>
      </c>
      <c r="F31" s="35" t="s">
        <v>50</v>
      </c>
      <c r="G31" s="19">
        <v>1.54</v>
      </c>
      <c r="H31" s="47">
        <f>ROUND($E$8*G31*3,0)</f>
        <v>25682</v>
      </c>
    </row>
    <row r="32" spans="1:8" ht="15.75" customHeight="1">
      <c r="A32" s="39" t="s">
        <v>127</v>
      </c>
      <c r="B32" s="196" t="s">
        <v>90</v>
      </c>
      <c r="C32" s="196"/>
      <c r="D32" s="196"/>
      <c r="E32" s="196"/>
      <c r="F32" s="196"/>
      <c r="G32" s="16">
        <f>SUM(G30:G31)</f>
        <v>15.36</v>
      </c>
      <c r="H32" s="47">
        <f>ROUND($E$8*G32*3,0)</f>
        <v>256154</v>
      </c>
    </row>
    <row r="33" spans="1:8" ht="16.5" thickBot="1">
      <c r="A33" s="86" t="s">
        <v>43</v>
      </c>
      <c r="B33" s="197" t="s">
        <v>124</v>
      </c>
      <c r="C33" s="198"/>
      <c r="D33" s="199"/>
      <c r="E33" s="103" t="s">
        <v>118</v>
      </c>
      <c r="F33" s="88" t="s">
        <v>50</v>
      </c>
      <c r="G33" s="105">
        <v>0.8</v>
      </c>
      <c r="H33" s="106">
        <f>ROUND($E$8*G33*3,0)</f>
        <v>13341</v>
      </c>
    </row>
    <row r="34" spans="1:5" ht="15.75" customHeight="1">
      <c r="A34" s="104"/>
      <c r="B34" s="203" t="s">
        <v>119</v>
      </c>
      <c r="C34" s="203"/>
      <c r="D34" s="203"/>
      <c r="E34" s="203"/>
    </row>
    <row r="35" ht="15.75" customHeight="1"/>
    <row r="36" spans="2:8" ht="15.75">
      <c r="B36" s="33" t="s">
        <v>120</v>
      </c>
      <c r="C36" s="33"/>
      <c r="D36" s="33"/>
      <c r="E36" s="26" t="s">
        <v>121</v>
      </c>
      <c r="F36" s="26"/>
      <c r="G36" s="26"/>
      <c r="H36" s="26"/>
    </row>
    <row r="38" spans="2:5" ht="15.75">
      <c r="B38" s="33" t="s">
        <v>122</v>
      </c>
      <c r="C38" s="33"/>
      <c r="D38" s="33"/>
      <c r="E38" t="s">
        <v>123</v>
      </c>
    </row>
  </sheetData>
  <sheetProtection/>
  <mergeCells count="25">
    <mergeCell ref="B34:E34"/>
    <mergeCell ref="B30:D30"/>
    <mergeCell ref="B28:D28"/>
    <mergeCell ref="B29:D29"/>
    <mergeCell ref="B33:D33"/>
    <mergeCell ref="B32:F32"/>
    <mergeCell ref="B13:D13"/>
    <mergeCell ref="B17:D17"/>
    <mergeCell ref="B18:D18"/>
    <mergeCell ref="B19:D19"/>
    <mergeCell ref="B16:D16"/>
    <mergeCell ref="B14:F14"/>
    <mergeCell ref="B26:D26"/>
    <mergeCell ref="B27:D27"/>
    <mergeCell ref="B24:D24"/>
    <mergeCell ref="B31:D31"/>
    <mergeCell ref="B25:D25"/>
    <mergeCell ref="D1:H1"/>
    <mergeCell ref="A4:H4"/>
    <mergeCell ref="B6:E6"/>
    <mergeCell ref="B12:D12"/>
    <mergeCell ref="B20:D20"/>
    <mergeCell ref="B21:D21"/>
    <mergeCell ref="B22:D22"/>
    <mergeCell ref="B23:D23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6">
      <selection activeCell="A30" sqref="A30:IV31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78" t="s">
        <v>146</v>
      </c>
      <c r="B1" s="178"/>
      <c r="C1" s="178"/>
      <c r="D1" s="178"/>
      <c r="E1" s="178"/>
      <c r="F1" s="178"/>
      <c r="G1" s="178"/>
      <c r="H1" s="178"/>
      <c r="I1" s="178"/>
    </row>
    <row r="2" spans="1:9" ht="20.25">
      <c r="A2" s="92"/>
      <c r="B2" s="92"/>
      <c r="C2" s="92"/>
      <c r="D2" s="92"/>
      <c r="E2" s="92"/>
      <c r="F2" s="92"/>
      <c r="G2" s="92"/>
      <c r="H2" s="92"/>
      <c r="I2" s="92"/>
    </row>
    <row r="3" spans="1:9" ht="20.25">
      <c r="A3" s="92"/>
      <c r="B3" s="92"/>
      <c r="C3" s="92"/>
      <c r="D3" s="92"/>
      <c r="E3" s="92"/>
      <c r="F3" s="92"/>
      <c r="G3" s="92"/>
      <c r="H3" s="92"/>
      <c r="I3" s="92"/>
    </row>
    <row r="4" spans="1:6" ht="47.25">
      <c r="A4" s="1" t="s">
        <v>36</v>
      </c>
      <c r="B4" s="1" t="s">
        <v>40</v>
      </c>
      <c r="C4" s="2"/>
      <c r="D4" s="108" t="s">
        <v>134</v>
      </c>
      <c r="E4" s="4">
        <v>5558.9</v>
      </c>
      <c r="F4" s="2"/>
    </row>
    <row r="5" spans="2:6" ht="15.75">
      <c r="B5" s="3" t="s">
        <v>1</v>
      </c>
      <c r="C5" s="22">
        <v>9</v>
      </c>
      <c r="D5" s="2" t="s">
        <v>2</v>
      </c>
      <c r="E5" s="4">
        <v>108</v>
      </c>
      <c r="F5" s="2"/>
    </row>
    <row r="6" spans="2:8" ht="15.75">
      <c r="B6" s="3" t="s">
        <v>3</v>
      </c>
      <c r="C6" s="4">
        <v>3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89.25">
      <c r="A8" s="82" t="s">
        <v>31</v>
      </c>
      <c r="B8" s="186" t="s">
        <v>53</v>
      </c>
      <c r="C8" s="187"/>
      <c r="D8" s="188"/>
      <c r="E8" s="38" t="s">
        <v>6</v>
      </c>
      <c r="F8" s="38" t="s">
        <v>7</v>
      </c>
      <c r="G8" s="83" t="s">
        <v>135</v>
      </c>
      <c r="H8" s="83" t="s">
        <v>136</v>
      </c>
      <c r="I8" s="84" t="s">
        <v>137</v>
      </c>
    </row>
    <row r="9" spans="1:9" ht="38.25">
      <c r="A9" s="93">
        <v>1</v>
      </c>
      <c r="B9" s="180">
        <v>2</v>
      </c>
      <c r="C9" s="181"/>
      <c r="D9" s="219"/>
      <c r="E9" s="109">
        <v>3</v>
      </c>
      <c r="F9" s="109">
        <v>3</v>
      </c>
      <c r="G9" s="109">
        <v>4</v>
      </c>
      <c r="H9" s="109">
        <v>5</v>
      </c>
      <c r="I9" s="96" t="s">
        <v>138</v>
      </c>
    </row>
    <row r="10" spans="1:9" ht="15.75" customHeight="1">
      <c r="A10" s="39">
        <v>1</v>
      </c>
      <c r="B10" s="189" t="s">
        <v>46</v>
      </c>
      <c r="C10" s="189"/>
      <c r="D10" s="189"/>
      <c r="E10" s="189"/>
      <c r="F10" s="189"/>
      <c r="G10" s="40"/>
      <c r="H10" s="110"/>
      <c r="I10" s="41"/>
    </row>
    <row r="11" spans="1:9" ht="15.75" customHeight="1">
      <c r="A11" s="39"/>
      <c r="B11" s="173" t="s">
        <v>88</v>
      </c>
      <c r="C11" s="173"/>
      <c r="D11" s="173"/>
      <c r="E11" s="173"/>
      <c r="F11" s="173"/>
      <c r="G11" s="19">
        <f>G34</f>
        <v>14.370000000000001</v>
      </c>
      <c r="H11" s="19">
        <f>H34</f>
        <v>15.3</v>
      </c>
      <c r="I11" s="47">
        <f>ROUND($E$4*G11*6,0)+ROUND($E$4*H11*6,0)</f>
        <v>989595</v>
      </c>
    </row>
    <row r="12" spans="1:9" ht="15.75" customHeight="1">
      <c r="A12" s="39"/>
      <c r="B12" s="192" t="s">
        <v>47</v>
      </c>
      <c r="C12" s="192"/>
      <c r="D12" s="192"/>
      <c r="E12" s="192"/>
      <c r="F12" s="192"/>
      <c r="G12" s="19">
        <f>G35</f>
        <v>0.8</v>
      </c>
      <c r="H12" s="19">
        <f>H35</f>
        <v>0.85</v>
      </c>
      <c r="I12" s="47">
        <f>ROUND($E$4*G12*6,0)+ROUND($E$4*H12*6,0)</f>
        <v>55033</v>
      </c>
    </row>
    <row r="13" spans="1:9" ht="15.75" customHeight="1">
      <c r="A13" s="39">
        <v>2</v>
      </c>
      <c r="B13" s="214" t="s">
        <v>32</v>
      </c>
      <c r="C13" s="215"/>
      <c r="D13" s="215"/>
      <c r="E13" s="215"/>
      <c r="F13" s="216"/>
      <c r="G13" s="9"/>
      <c r="H13" s="111"/>
      <c r="I13" s="47"/>
    </row>
    <row r="14" spans="1:9" ht="18.75" customHeight="1">
      <c r="A14" s="39" t="s">
        <v>125</v>
      </c>
      <c r="B14" s="15" t="s">
        <v>33</v>
      </c>
      <c r="C14" s="15"/>
      <c r="D14" s="15"/>
      <c r="E14" s="15"/>
      <c r="F14" s="5"/>
      <c r="G14" s="43"/>
      <c r="H14" s="112"/>
      <c r="I14" s="47"/>
    </row>
    <row r="15" spans="1:9" ht="29.25" customHeight="1">
      <c r="A15" s="44"/>
      <c r="B15" s="217" t="s">
        <v>139</v>
      </c>
      <c r="C15" s="205"/>
      <c r="D15" s="205"/>
      <c r="E15" s="63" t="s">
        <v>28</v>
      </c>
      <c r="F15" s="6" t="s">
        <v>22</v>
      </c>
      <c r="G15" s="46">
        <v>1.29</v>
      </c>
      <c r="H15" s="113">
        <v>1.37</v>
      </c>
      <c r="I15" s="47">
        <f>ROUND($E$4*G15*6,0)+ROUND($E$4*H15*6,0)</f>
        <v>88720</v>
      </c>
    </row>
    <row r="16" spans="1:10" ht="15.75" customHeight="1">
      <c r="A16" s="44"/>
      <c r="B16" s="205" t="s">
        <v>16</v>
      </c>
      <c r="C16" s="205"/>
      <c r="D16" s="205"/>
      <c r="E16" s="63" t="s">
        <v>28</v>
      </c>
      <c r="F16" s="6" t="s">
        <v>17</v>
      </c>
      <c r="G16" s="46">
        <v>0.3</v>
      </c>
      <c r="H16" s="113">
        <v>0.32</v>
      </c>
      <c r="I16" s="47">
        <f aca="true" t="shared" si="0" ref="I16:I35">ROUND($E$4*G16*6,0)+ROUND($E$4*H16*6,0)</f>
        <v>20679</v>
      </c>
      <c r="J16" s="24"/>
    </row>
    <row r="17" spans="1:9" ht="18.75" customHeight="1">
      <c r="A17" s="44"/>
      <c r="B17" s="204" t="s">
        <v>140</v>
      </c>
      <c r="C17" s="204"/>
      <c r="D17" s="204"/>
      <c r="E17" s="67" t="s">
        <v>65</v>
      </c>
      <c r="F17" s="7" t="s">
        <v>18</v>
      </c>
      <c r="G17" s="46">
        <v>0.06</v>
      </c>
      <c r="H17" s="113">
        <v>0.06</v>
      </c>
      <c r="I17" s="47">
        <f t="shared" si="0"/>
        <v>4002</v>
      </c>
    </row>
    <row r="18" spans="1:9" ht="15.75" customHeight="1">
      <c r="A18" s="44"/>
      <c r="B18" s="218" t="s">
        <v>27</v>
      </c>
      <c r="C18" s="218"/>
      <c r="D18" s="218"/>
      <c r="E18" s="69" t="s">
        <v>8</v>
      </c>
      <c r="F18" s="8" t="s">
        <v>9</v>
      </c>
      <c r="G18" s="46">
        <v>0.54</v>
      </c>
      <c r="H18" s="113">
        <v>0.58</v>
      </c>
      <c r="I18" s="47">
        <f t="shared" si="0"/>
        <v>37356</v>
      </c>
    </row>
    <row r="19" spans="1:9" ht="51" customHeight="1">
      <c r="A19" s="44"/>
      <c r="B19" s="204" t="s">
        <v>25</v>
      </c>
      <c r="C19" s="204"/>
      <c r="D19" s="204"/>
      <c r="E19" s="67" t="s">
        <v>66</v>
      </c>
      <c r="F19" s="7" t="s">
        <v>23</v>
      </c>
      <c r="G19" s="46">
        <v>0.13</v>
      </c>
      <c r="H19" s="113">
        <v>0.14</v>
      </c>
      <c r="I19" s="47">
        <f t="shared" si="0"/>
        <v>9005</v>
      </c>
    </row>
    <row r="20" spans="1:9" ht="37.5" customHeight="1">
      <c r="A20" s="44"/>
      <c r="B20" s="204" t="s">
        <v>10</v>
      </c>
      <c r="C20" s="204"/>
      <c r="D20" s="204"/>
      <c r="E20" s="67" t="s">
        <v>8</v>
      </c>
      <c r="F20" s="7" t="s">
        <v>11</v>
      </c>
      <c r="G20" s="46">
        <v>2.35</v>
      </c>
      <c r="H20" s="113">
        <v>2.5</v>
      </c>
      <c r="I20" s="47">
        <f t="shared" si="0"/>
        <v>161764</v>
      </c>
    </row>
    <row r="21" spans="1:9" ht="21" customHeight="1">
      <c r="A21" s="44"/>
      <c r="B21" s="204" t="s">
        <v>24</v>
      </c>
      <c r="C21" s="207"/>
      <c r="D21" s="207"/>
      <c r="E21" s="70" t="s">
        <v>12</v>
      </c>
      <c r="F21" s="9" t="s">
        <v>48</v>
      </c>
      <c r="G21" s="46">
        <v>0.05</v>
      </c>
      <c r="H21" s="113">
        <v>0.05</v>
      </c>
      <c r="I21" s="47">
        <f t="shared" si="0"/>
        <v>3336</v>
      </c>
    </row>
    <row r="22" spans="1:9" ht="51">
      <c r="A22" s="44"/>
      <c r="B22" s="204" t="s">
        <v>35</v>
      </c>
      <c r="C22" s="204"/>
      <c r="D22" s="204"/>
      <c r="E22" s="63" t="s">
        <v>128</v>
      </c>
      <c r="F22" s="7" t="s">
        <v>39</v>
      </c>
      <c r="G22" s="46">
        <v>1.63</v>
      </c>
      <c r="H22" s="113">
        <v>1.74</v>
      </c>
      <c r="I22" s="47">
        <f t="shared" si="0"/>
        <v>112401</v>
      </c>
    </row>
    <row r="23" spans="1:9" ht="55.5" customHeight="1">
      <c r="A23" s="44"/>
      <c r="B23" s="205" t="s">
        <v>14</v>
      </c>
      <c r="C23" s="205"/>
      <c r="D23" s="205"/>
      <c r="E23" s="63" t="s">
        <v>49</v>
      </c>
      <c r="F23" s="7" t="s">
        <v>39</v>
      </c>
      <c r="G23" s="46">
        <v>0.56</v>
      </c>
      <c r="H23" s="113">
        <v>0.6</v>
      </c>
      <c r="I23" s="47">
        <f t="shared" si="0"/>
        <v>38690</v>
      </c>
    </row>
    <row r="24" spans="1:9" ht="28.5" customHeight="1">
      <c r="A24" s="44"/>
      <c r="B24" s="204" t="s">
        <v>141</v>
      </c>
      <c r="C24" s="207"/>
      <c r="D24" s="207"/>
      <c r="E24" s="63" t="s">
        <v>29</v>
      </c>
      <c r="F24" s="7" t="s">
        <v>39</v>
      </c>
      <c r="G24" s="46">
        <f>4.38-G25-G26</f>
        <v>3.7600000000000002</v>
      </c>
      <c r="H24" s="11">
        <f>4.66-H25-H26</f>
        <v>4</v>
      </c>
      <c r="I24" s="47">
        <f t="shared" si="0"/>
        <v>258823</v>
      </c>
    </row>
    <row r="25" spans="1:9" ht="15.75" customHeight="1">
      <c r="A25" s="44"/>
      <c r="B25" s="204" t="s">
        <v>89</v>
      </c>
      <c r="C25" s="204"/>
      <c r="D25" s="204"/>
      <c r="E25" s="67" t="s">
        <v>8</v>
      </c>
      <c r="F25" s="7" t="s">
        <v>39</v>
      </c>
      <c r="G25" s="46">
        <v>0.31</v>
      </c>
      <c r="H25" s="113">
        <v>0.33</v>
      </c>
      <c r="I25" s="47">
        <f t="shared" si="0"/>
        <v>21347</v>
      </c>
    </row>
    <row r="26" spans="1:9" ht="21.75" customHeight="1">
      <c r="A26" s="44"/>
      <c r="B26" s="204" t="s">
        <v>68</v>
      </c>
      <c r="C26" s="204"/>
      <c r="D26" s="204"/>
      <c r="E26" s="67" t="s">
        <v>8</v>
      </c>
      <c r="F26" s="7" t="s">
        <v>39</v>
      </c>
      <c r="G26" s="46">
        <v>0.31</v>
      </c>
      <c r="H26" s="113">
        <v>0.33</v>
      </c>
      <c r="I26" s="47">
        <f t="shared" si="0"/>
        <v>21347</v>
      </c>
    </row>
    <row r="27" spans="1:9" ht="29.25" customHeight="1">
      <c r="A27" s="44"/>
      <c r="B27" s="207" t="s">
        <v>142</v>
      </c>
      <c r="C27" s="207"/>
      <c r="D27" s="207"/>
      <c r="E27" s="63" t="s">
        <v>29</v>
      </c>
      <c r="F27" s="7" t="s">
        <v>39</v>
      </c>
      <c r="G27" s="46">
        <v>1.54</v>
      </c>
      <c r="H27" s="113">
        <v>1.64</v>
      </c>
      <c r="I27" s="47">
        <f t="shared" si="0"/>
        <v>106064</v>
      </c>
    </row>
    <row r="28" spans="1:9" ht="15.75" customHeight="1">
      <c r="A28" s="18"/>
      <c r="B28" s="208" t="s">
        <v>69</v>
      </c>
      <c r="C28" s="209"/>
      <c r="D28" s="210"/>
      <c r="E28" s="67" t="s">
        <v>8</v>
      </c>
      <c r="F28" s="7"/>
      <c r="G28" s="46"/>
      <c r="H28" s="113"/>
      <c r="I28" s="47">
        <f t="shared" si="0"/>
        <v>0</v>
      </c>
    </row>
    <row r="29" spans="1:9" ht="31.5" customHeight="1">
      <c r="A29" s="18"/>
      <c r="B29" s="208" t="s">
        <v>70</v>
      </c>
      <c r="C29" s="209"/>
      <c r="D29" s="210"/>
      <c r="E29" s="63" t="s">
        <v>29</v>
      </c>
      <c r="F29" s="7"/>
      <c r="G29" s="16"/>
      <c r="H29" s="113"/>
      <c r="I29" s="47">
        <f t="shared" si="0"/>
        <v>0</v>
      </c>
    </row>
    <row r="30" spans="1:9" ht="15.75" customHeight="1" hidden="1">
      <c r="A30" s="44"/>
      <c r="B30" s="211"/>
      <c r="C30" s="212"/>
      <c r="D30" s="213"/>
      <c r="E30" s="63"/>
      <c r="F30" s="7"/>
      <c r="G30" s="19"/>
      <c r="H30" s="113"/>
      <c r="I30" s="47">
        <f t="shared" si="0"/>
        <v>0</v>
      </c>
    </row>
    <row r="31" spans="1:9" ht="15.75" hidden="1">
      <c r="A31" s="44"/>
      <c r="B31" s="211"/>
      <c r="C31" s="212"/>
      <c r="D31" s="213"/>
      <c r="E31" s="63"/>
      <c r="F31" s="7"/>
      <c r="G31" s="16"/>
      <c r="H31" s="113"/>
      <c r="I31" s="47">
        <f t="shared" si="0"/>
        <v>0</v>
      </c>
    </row>
    <row r="32" spans="1:9" ht="15.75" customHeight="1">
      <c r="A32" s="44"/>
      <c r="B32" s="164" t="s">
        <v>26</v>
      </c>
      <c r="C32" s="165"/>
      <c r="D32" s="166"/>
      <c r="E32" s="12"/>
      <c r="F32" s="7"/>
      <c r="G32" s="16">
        <f>SUM(G15:G31)</f>
        <v>12.830000000000002</v>
      </c>
      <c r="H32" s="16">
        <f>SUM(H15:H31)</f>
        <v>13.66</v>
      </c>
      <c r="I32" s="47">
        <f t="shared" si="0"/>
        <v>883531</v>
      </c>
    </row>
    <row r="33" spans="1:9" ht="21" customHeight="1">
      <c r="A33" s="39" t="s">
        <v>126</v>
      </c>
      <c r="B33" s="170" t="s">
        <v>112</v>
      </c>
      <c r="C33" s="171"/>
      <c r="D33" s="171"/>
      <c r="E33" s="114" t="s">
        <v>118</v>
      </c>
      <c r="F33" s="35" t="s">
        <v>50</v>
      </c>
      <c r="G33" s="19">
        <v>1.54</v>
      </c>
      <c r="H33" s="19">
        <v>1.64</v>
      </c>
      <c r="I33" s="47">
        <f t="shared" si="0"/>
        <v>106064</v>
      </c>
    </row>
    <row r="34" spans="1:9" ht="15.75" customHeight="1">
      <c r="A34" s="39" t="s">
        <v>127</v>
      </c>
      <c r="B34" s="196" t="s">
        <v>90</v>
      </c>
      <c r="C34" s="196"/>
      <c r="D34" s="196"/>
      <c r="E34" s="196"/>
      <c r="F34" s="196"/>
      <c r="G34" s="16">
        <f>SUM(G32:G33)</f>
        <v>14.370000000000001</v>
      </c>
      <c r="H34" s="16">
        <f>SUM(H32:H33)</f>
        <v>15.3</v>
      </c>
      <c r="I34" s="47">
        <f t="shared" si="0"/>
        <v>989595</v>
      </c>
    </row>
    <row r="35" spans="1:9" ht="24" customHeight="1" thickBot="1">
      <c r="A35" s="86" t="s">
        <v>43</v>
      </c>
      <c r="B35" s="197" t="s">
        <v>143</v>
      </c>
      <c r="C35" s="198"/>
      <c r="D35" s="199"/>
      <c r="E35" s="115" t="s">
        <v>118</v>
      </c>
      <c r="F35" s="116" t="s">
        <v>50</v>
      </c>
      <c r="G35" s="105">
        <v>0.8</v>
      </c>
      <c r="H35" s="105">
        <v>0.85</v>
      </c>
      <c r="I35" s="106">
        <f t="shared" si="0"/>
        <v>55033</v>
      </c>
    </row>
    <row r="36" spans="2:9" ht="59.25" customHeight="1">
      <c r="B36" s="206" t="s">
        <v>144</v>
      </c>
      <c r="C36" s="206"/>
      <c r="D36" s="206"/>
      <c r="E36" s="206"/>
      <c r="G36" s="50"/>
      <c r="H36" s="50"/>
      <c r="I36" s="51"/>
    </row>
    <row r="37" spans="2:9" ht="24.75" customHeight="1">
      <c r="B37" s="117"/>
      <c r="C37" s="117"/>
      <c r="D37" s="117"/>
      <c r="E37" s="117"/>
      <c r="G37" s="50"/>
      <c r="H37" s="50"/>
      <c r="I37" s="51"/>
    </row>
    <row r="38" spans="1:9" ht="15.75" customHeight="1">
      <c r="A38" s="30" t="s">
        <v>145</v>
      </c>
      <c r="B38" s="30"/>
      <c r="C38" s="30"/>
      <c r="D38" s="26"/>
      <c r="G38" s="50"/>
      <c r="H38" s="50"/>
      <c r="I38" s="51"/>
    </row>
  </sheetData>
  <sheetProtection/>
  <mergeCells count="29">
    <mergeCell ref="B11:F11"/>
    <mergeCell ref="B12:F12"/>
    <mergeCell ref="A1:I1"/>
    <mergeCell ref="B8:D8"/>
    <mergeCell ref="B9:D9"/>
    <mergeCell ref="B10:F10"/>
    <mergeCell ref="B18:D18"/>
    <mergeCell ref="B19:D19"/>
    <mergeCell ref="B20:D20"/>
    <mergeCell ref="B21:D21"/>
    <mergeCell ref="B13:F13"/>
    <mergeCell ref="B15:D15"/>
    <mergeCell ref="B16:D16"/>
    <mergeCell ref="B17:D17"/>
    <mergeCell ref="B36:E36"/>
    <mergeCell ref="B26:D26"/>
    <mergeCell ref="B27:D27"/>
    <mergeCell ref="B28:D28"/>
    <mergeCell ref="B29:D29"/>
    <mergeCell ref="B30:D30"/>
    <mergeCell ref="B31:D31"/>
    <mergeCell ref="B32:D32"/>
    <mergeCell ref="B33:D33"/>
    <mergeCell ref="B34:F34"/>
    <mergeCell ref="B35:D35"/>
    <mergeCell ref="B22:D22"/>
    <mergeCell ref="B23:D23"/>
    <mergeCell ref="B24:D24"/>
    <mergeCell ref="B25:D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workbookViewId="0" topLeftCell="A19">
      <selection activeCell="E17" sqref="E17:E29"/>
    </sheetView>
  </sheetViews>
  <sheetFormatPr defaultColWidth="9.00390625" defaultRowHeight="15.75"/>
  <cols>
    <col min="1" max="1" width="4.375" style="0" customWidth="1"/>
    <col min="2" max="2" width="25.125" style="0" customWidth="1"/>
    <col min="3" max="3" width="3.75390625" style="0" customWidth="1"/>
    <col min="4" max="4" width="18.375" style="0" customWidth="1"/>
    <col min="5" max="5" width="18.625" style="0" customWidth="1"/>
    <col min="6" max="6" width="22.50390625" style="0" hidden="1" customWidth="1"/>
    <col min="7" max="7" width="11.125" style="0" hidden="1" customWidth="1"/>
    <col min="8" max="8" width="11.625" style="0" hidden="1" customWidth="1"/>
    <col min="9" max="9" width="12.00390625" style="0" hidden="1" customWidth="1"/>
    <col min="10" max="10" width="38.125" style="0" customWidth="1"/>
    <col min="11" max="11" width="9.75390625" style="0" hidden="1" customWidth="1"/>
    <col min="12" max="12" width="9.625" style="0" hidden="1" customWidth="1"/>
  </cols>
  <sheetData>
    <row r="1" spans="1:10" ht="111" customHeight="1">
      <c r="A1" s="178" t="s">
        <v>148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67.5" customHeight="1">
      <c r="A2" s="179" t="s">
        <v>147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9" ht="31.5">
      <c r="A3" s="1" t="s">
        <v>36</v>
      </c>
      <c r="B3" s="1" t="s">
        <v>40</v>
      </c>
      <c r="C3" s="2"/>
      <c r="D3" s="108" t="s">
        <v>134</v>
      </c>
      <c r="E3" s="4">
        <v>5558.9</v>
      </c>
      <c r="F3" s="2"/>
      <c r="I3" s="52"/>
    </row>
    <row r="4" spans="2:6" ht="15.75">
      <c r="B4" s="3" t="s">
        <v>1</v>
      </c>
      <c r="C4" s="22">
        <v>9</v>
      </c>
      <c r="D4" s="2" t="s">
        <v>2</v>
      </c>
      <c r="E4" s="4">
        <v>108</v>
      </c>
      <c r="F4" s="2"/>
    </row>
    <row r="5" spans="2:9" ht="15.75">
      <c r="B5" s="3" t="s">
        <v>3</v>
      </c>
      <c r="C5" s="4">
        <v>3</v>
      </c>
      <c r="D5" s="2" t="s">
        <v>4</v>
      </c>
      <c r="E5" s="2" t="s">
        <v>15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17" t="s">
        <v>31</v>
      </c>
      <c r="B7" s="180" t="s">
        <v>53</v>
      </c>
      <c r="C7" s="181"/>
      <c r="D7" s="182"/>
      <c r="E7" s="10" t="s">
        <v>6</v>
      </c>
      <c r="F7" s="10" t="s">
        <v>7</v>
      </c>
      <c r="G7" s="118" t="s">
        <v>156</v>
      </c>
      <c r="H7" s="183" t="s">
        <v>157</v>
      </c>
      <c r="I7" s="184"/>
      <c r="J7" s="185"/>
      <c r="K7" s="36">
        <v>3</v>
      </c>
      <c r="L7" s="119" t="s">
        <v>149</v>
      </c>
    </row>
    <row r="8" spans="1:10" ht="15.75">
      <c r="A8" s="18">
        <v>1</v>
      </c>
      <c r="B8" s="175"/>
      <c r="C8" s="176"/>
      <c r="D8" s="176"/>
      <c r="E8" s="176"/>
      <c r="F8" s="177"/>
      <c r="G8" s="120"/>
      <c r="H8" s="121" t="s">
        <v>55</v>
      </c>
      <c r="I8" s="56" t="s">
        <v>56</v>
      </c>
      <c r="J8" s="56" t="s">
        <v>57</v>
      </c>
    </row>
    <row r="9" spans="1:10" ht="15.75">
      <c r="A9" s="18"/>
      <c r="B9" s="175" t="s">
        <v>58</v>
      </c>
      <c r="C9" s="176"/>
      <c r="D9" s="176"/>
      <c r="E9" s="176"/>
      <c r="F9" s="177"/>
      <c r="G9" s="37"/>
      <c r="H9" s="37"/>
      <c r="I9" s="37"/>
      <c r="J9" s="56"/>
    </row>
    <row r="10" spans="1:10" ht="15.75">
      <c r="A10" s="57"/>
      <c r="B10" s="122" t="s">
        <v>59</v>
      </c>
      <c r="C10" s="122"/>
      <c r="D10" s="122"/>
      <c r="E10" s="122"/>
      <c r="F10" s="122"/>
      <c r="G10" s="13"/>
      <c r="H10" s="58">
        <v>263383.88</v>
      </c>
      <c r="I10" s="40"/>
      <c r="J10" s="59">
        <f>H10+I10</f>
        <v>263383.88</v>
      </c>
    </row>
    <row r="11" spans="1:10" ht="15.75">
      <c r="A11" s="57"/>
      <c r="B11" s="122" t="s">
        <v>60</v>
      </c>
      <c r="C11" s="122"/>
      <c r="D11" s="122"/>
      <c r="E11" s="122"/>
      <c r="F11" s="122"/>
      <c r="G11" s="13"/>
      <c r="H11" s="14">
        <v>10316.17</v>
      </c>
      <c r="I11" s="40"/>
      <c r="J11" s="59">
        <f>H11+I11</f>
        <v>10316.17</v>
      </c>
    </row>
    <row r="12" spans="1:10" ht="15.75">
      <c r="A12" s="18"/>
      <c r="B12" s="122" t="s">
        <v>61</v>
      </c>
      <c r="C12" s="122"/>
      <c r="D12" s="122"/>
      <c r="E12" s="122"/>
      <c r="F12" s="122"/>
      <c r="G12" s="13"/>
      <c r="H12" s="58"/>
      <c r="I12" s="40">
        <v>0</v>
      </c>
      <c r="J12" s="59">
        <f>H12+I12</f>
        <v>0</v>
      </c>
    </row>
    <row r="13" spans="1:10" ht="15.75">
      <c r="A13" s="18"/>
      <c r="B13" s="122" t="s">
        <v>150</v>
      </c>
      <c r="C13" s="122"/>
      <c r="D13" s="122"/>
      <c r="E13" s="122"/>
      <c r="F13" s="122"/>
      <c r="G13" s="13"/>
      <c r="H13" s="58">
        <v>0</v>
      </c>
      <c r="I13" s="60">
        <v>0</v>
      </c>
      <c r="J13" s="59">
        <f>H13+I13</f>
        <v>0</v>
      </c>
    </row>
    <row r="14" spans="1:10" ht="15.75">
      <c r="A14" s="18"/>
      <c r="B14" s="173" t="s">
        <v>63</v>
      </c>
      <c r="C14" s="173"/>
      <c r="D14" s="173"/>
      <c r="E14" s="173"/>
      <c r="F14" s="173"/>
      <c r="G14" s="13"/>
      <c r="H14" s="61">
        <f>SUM(H10:H12)</f>
        <v>273700.05</v>
      </c>
      <c r="I14" s="62">
        <f>SUM(I10:I12)</f>
        <v>0</v>
      </c>
      <c r="J14" s="61">
        <f>SUM(J10:J13)</f>
        <v>273700.05</v>
      </c>
    </row>
    <row r="15" spans="1:10" ht="18.75">
      <c r="A15" s="18">
        <v>2</v>
      </c>
      <c r="B15" s="220" t="s">
        <v>32</v>
      </c>
      <c r="C15" s="220"/>
      <c r="D15" s="220"/>
      <c r="E15" s="220"/>
      <c r="F15" s="220"/>
      <c r="G15" s="13"/>
      <c r="H15" s="58"/>
      <c r="I15" s="40"/>
      <c r="J15" s="27"/>
    </row>
    <row r="16" spans="1:10" ht="15.75">
      <c r="A16" s="18" t="s">
        <v>64</v>
      </c>
      <c r="B16" s="123" t="s">
        <v>33</v>
      </c>
      <c r="C16" s="123"/>
      <c r="D16" s="123"/>
      <c r="E16" s="123"/>
      <c r="F16" s="77"/>
      <c r="G16" s="121"/>
      <c r="H16" s="121"/>
      <c r="I16" s="53"/>
      <c r="J16" s="56"/>
    </row>
    <row r="17" spans="1:10" ht="33" customHeight="1">
      <c r="A17" s="21"/>
      <c r="B17" s="152" t="s">
        <v>151</v>
      </c>
      <c r="C17" s="152"/>
      <c r="D17" s="152"/>
      <c r="E17" s="63" t="s">
        <v>28</v>
      </c>
      <c r="F17" s="45" t="s">
        <v>22</v>
      </c>
      <c r="G17" s="46">
        <v>1.29</v>
      </c>
      <c r="H17" s="64">
        <f>ROUND($E$3*G17*$K$7,2)</f>
        <v>21512.94</v>
      </c>
      <c r="I17" s="65"/>
      <c r="J17" s="66">
        <f>SUM(H17:I17)</f>
        <v>21512.94</v>
      </c>
    </row>
    <row r="18" spans="1:10" ht="17.25" customHeight="1">
      <c r="A18" s="18"/>
      <c r="B18" s="154" t="s">
        <v>16</v>
      </c>
      <c r="C18" s="154"/>
      <c r="D18" s="154"/>
      <c r="E18" s="63" t="s">
        <v>28</v>
      </c>
      <c r="F18" s="45" t="s">
        <v>17</v>
      </c>
      <c r="G18" s="46">
        <v>0.3</v>
      </c>
      <c r="H18" s="64">
        <f>ROUND($E$3*G18*$K$7,2)</f>
        <v>5003.01</v>
      </c>
      <c r="I18" s="65"/>
      <c r="J18" s="66">
        <f>SUM(H18:I18)</f>
        <v>5003.01</v>
      </c>
    </row>
    <row r="19" spans="1:10" ht="20.25" customHeight="1">
      <c r="A19" s="18"/>
      <c r="B19" s="151" t="s">
        <v>21</v>
      </c>
      <c r="C19" s="151"/>
      <c r="D19" s="151"/>
      <c r="E19" s="67" t="s">
        <v>65</v>
      </c>
      <c r="F19" s="48" t="s">
        <v>18</v>
      </c>
      <c r="G19" s="46">
        <v>1.05</v>
      </c>
      <c r="H19" s="64">
        <f>J19-I19</f>
        <v>220.44</v>
      </c>
      <c r="I19" s="65"/>
      <c r="J19" s="68">
        <v>220.44</v>
      </c>
    </row>
    <row r="20" spans="1:10" ht="20.25" customHeight="1">
      <c r="A20" s="21"/>
      <c r="B20" s="152" t="s">
        <v>27</v>
      </c>
      <c r="C20" s="152"/>
      <c r="D20" s="152"/>
      <c r="E20" s="69" t="s">
        <v>8</v>
      </c>
      <c r="F20" s="49" t="s">
        <v>9</v>
      </c>
      <c r="G20" s="46">
        <v>0.54</v>
      </c>
      <c r="H20" s="64">
        <f>ROUND($E$3*G20*$K$7,2)</f>
        <v>9005.42</v>
      </c>
      <c r="I20" s="65"/>
      <c r="J20" s="66">
        <f>SUM(H20:I20)</f>
        <v>9005.42</v>
      </c>
    </row>
    <row r="21" spans="1:10" ht="53.25" customHeight="1">
      <c r="A21" s="18"/>
      <c r="B21" s="151" t="s">
        <v>25</v>
      </c>
      <c r="C21" s="151"/>
      <c r="D21" s="151"/>
      <c r="E21" s="67" t="s">
        <v>66</v>
      </c>
      <c r="F21" s="48" t="s">
        <v>23</v>
      </c>
      <c r="G21" s="46">
        <v>0.13</v>
      </c>
      <c r="H21" s="64">
        <f>J21-I21</f>
        <v>0</v>
      </c>
      <c r="I21" s="65"/>
      <c r="J21" s="68">
        <v>0</v>
      </c>
    </row>
    <row r="22" spans="1:10" ht="20.25" customHeight="1">
      <c r="A22" s="21"/>
      <c r="B22" s="151" t="s">
        <v>10</v>
      </c>
      <c r="C22" s="151"/>
      <c r="D22" s="151"/>
      <c r="E22" s="67" t="s">
        <v>8</v>
      </c>
      <c r="F22" s="48" t="s">
        <v>11</v>
      </c>
      <c r="G22" s="46">
        <v>2.35</v>
      </c>
      <c r="H22" s="64">
        <f>ROUND($E$3*G22*$K$7,2)</f>
        <v>39190.25</v>
      </c>
      <c r="I22" s="65"/>
      <c r="J22" s="68">
        <f>H22</f>
        <v>39190.25</v>
      </c>
    </row>
    <row r="23" spans="1:10" ht="20.25" customHeight="1">
      <c r="A23" s="21"/>
      <c r="B23" s="151" t="s">
        <v>24</v>
      </c>
      <c r="C23" s="160"/>
      <c r="D23" s="160"/>
      <c r="E23" s="70" t="s">
        <v>12</v>
      </c>
      <c r="F23" s="42" t="s">
        <v>13</v>
      </c>
      <c r="G23" s="46">
        <v>0.05</v>
      </c>
      <c r="H23" s="64">
        <f>J23-I23</f>
        <v>0</v>
      </c>
      <c r="I23" s="65"/>
      <c r="J23" s="68">
        <v>0</v>
      </c>
    </row>
    <row r="24" spans="1:10" ht="51.75" customHeight="1">
      <c r="A24" s="18"/>
      <c r="B24" s="151" t="s">
        <v>35</v>
      </c>
      <c r="C24" s="151"/>
      <c r="D24" s="151"/>
      <c r="E24" s="63" t="s">
        <v>128</v>
      </c>
      <c r="F24" s="32" t="s">
        <v>39</v>
      </c>
      <c r="G24" s="46">
        <v>1.63</v>
      </c>
      <c r="H24" s="64">
        <f aca="true" t="shared" si="0" ref="H24:H29">ROUND($E$3*G24*$K$7,2)</f>
        <v>27183.02</v>
      </c>
      <c r="I24" s="65"/>
      <c r="J24" s="66">
        <f aca="true" t="shared" si="1" ref="J24:J29">SUM(H24:I24)</f>
        <v>27183.02</v>
      </c>
    </row>
    <row r="25" spans="1:10" ht="53.25" customHeight="1">
      <c r="A25" s="18"/>
      <c r="B25" s="154" t="s">
        <v>14</v>
      </c>
      <c r="C25" s="154"/>
      <c r="D25" s="154"/>
      <c r="E25" s="63" t="s">
        <v>49</v>
      </c>
      <c r="F25" s="32" t="s">
        <v>39</v>
      </c>
      <c r="G25" s="46">
        <v>0.56</v>
      </c>
      <c r="H25" s="64">
        <f>J25-I25</f>
        <v>9333.9</v>
      </c>
      <c r="I25" s="65"/>
      <c r="J25" s="66">
        <v>9333.9</v>
      </c>
    </row>
    <row r="26" spans="1:10" ht="30" customHeight="1">
      <c r="A26" s="18"/>
      <c r="B26" s="221" t="s">
        <v>30</v>
      </c>
      <c r="C26" s="162"/>
      <c r="D26" s="163"/>
      <c r="E26" s="63" t="s">
        <v>29</v>
      </c>
      <c r="F26" s="32" t="s">
        <v>39</v>
      </c>
      <c r="G26" s="46">
        <f>4.38-G27-G28</f>
        <v>3.7600000000000002</v>
      </c>
      <c r="H26" s="64">
        <f t="shared" si="0"/>
        <v>62704.39</v>
      </c>
      <c r="I26" s="72"/>
      <c r="J26" s="66">
        <f t="shared" si="1"/>
        <v>62704.39</v>
      </c>
    </row>
    <row r="27" spans="1:10" ht="26.25" customHeight="1">
      <c r="A27" s="21"/>
      <c r="B27" s="151" t="s">
        <v>67</v>
      </c>
      <c r="C27" s="151"/>
      <c r="D27" s="151"/>
      <c r="E27" s="67" t="s">
        <v>8</v>
      </c>
      <c r="F27" s="32" t="s">
        <v>39</v>
      </c>
      <c r="G27" s="46">
        <v>0.31</v>
      </c>
      <c r="H27" s="64">
        <f t="shared" si="0"/>
        <v>5169.78</v>
      </c>
      <c r="I27" s="72"/>
      <c r="J27" s="66">
        <f t="shared" si="1"/>
        <v>5169.78</v>
      </c>
    </row>
    <row r="28" spans="1:10" ht="17.25" customHeight="1">
      <c r="A28" s="18"/>
      <c r="B28" s="151" t="s">
        <v>68</v>
      </c>
      <c r="C28" s="151"/>
      <c r="D28" s="151"/>
      <c r="E28" s="67" t="s">
        <v>8</v>
      </c>
      <c r="F28" s="32" t="s">
        <v>39</v>
      </c>
      <c r="G28" s="46">
        <v>0.31</v>
      </c>
      <c r="H28" s="64">
        <f t="shared" si="0"/>
        <v>5169.78</v>
      </c>
      <c r="I28" s="72"/>
      <c r="J28" s="66">
        <f t="shared" si="1"/>
        <v>5169.78</v>
      </c>
    </row>
    <row r="29" spans="1:10" ht="29.25" customHeight="1">
      <c r="A29" s="18"/>
      <c r="B29" s="160" t="s">
        <v>19</v>
      </c>
      <c r="C29" s="160"/>
      <c r="D29" s="160"/>
      <c r="E29" s="63" t="s">
        <v>29</v>
      </c>
      <c r="F29" s="32" t="s">
        <v>39</v>
      </c>
      <c r="G29" s="46">
        <v>1.54</v>
      </c>
      <c r="H29" s="64">
        <f t="shared" si="0"/>
        <v>25682.12</v>
      </c>
      <c r="I29" s="65"/>
      <c r="J29" s="66">
        <f t="shared" si="1"/>
        <v>25682.12</v>
      </c>
    </row>
    <row r="30" spans="1:10" ht="15.75">
      <c r="A30" s="18"/>
      <c r="B30" s="161"/>
      <c r="C30" s="162"/>
      <c r="D30" s="163"/>
      <c r="E30" s="114"/>
      <c r="F30" s="32"/>
      <c r="G30" s="42"/>
      <c r="H30" s="71"/>
      <c r="I30" s="60"/>
      <c r="J30" s="73"/>
    </row>
    <row r="31" spans="1:10" ht="15.75">
      <c r="A31" s="18"/>
      <c r="B31" s="222" t="s">
        <v>26</v>
      </c>
      <c r="C31" s="222"/>
      <c r="D31" s="222"/>
      <c r="E31" s="18"/>
      <c r="F31" s="32"/>
      <c r="G31" s="19">
        <f>SUM(G17:G29)</f>
        <v>13.82</v>
      </c>
      <c r="H31" s="81">
        <f>SUM(H17:H30)</f>
        <v>210175.05</v>
      </c>
      <c r="I31" s="62"/>
      <c r="J31" s="81">
        <f>SUM(J17:J30)</f>
        <v>210175.05</v>
      </c>
    </row>
    <row r="32" spans="1:10" ht="15.75" hidden="1">
      <c r="A32" s="18"/>
      <c r="B32" s="167" t="s">
        <v>69</v>
      </c>
      <c r="C32" s="168"/>
      <c r="D32" s="169"/>
      <c r="E32" s="114" t="s">
        <v>8</v>
      </c>
      <c r="F32" s="32"/>
      <c r="G32" s="42"/>
      <c r="H32" s="71"/>
      <c r="I32" s="60"/>
      <c r="J32" s="73"/>
    </row>
    <row r="33" spans="1:10" ht="25.5" hidden="1">
      <c r="A33" s="18"/>
      <c r="B33" s="167" t="s">
        <v>70</v>
      </c>
      <c r="C33" s="168"/>
      <c r="D33" s="169"/>
      <c r="E33" s="124" t="s">
        <v>29</v>
      </c>
      <c r="F33" s="32"/>
      <c r="G33" s="42"/>
      <c r="H33" s="71"/>
      <c r="I33" s="60"/>
      <c r="J33" s="73"/>
    </row>
    <row r="34" spans="1:10" ht="15.75" hidden="1">
      <c r="A34" s="18"/>
      <c r="B34" s="161"/>
      <c r="C34" s="162"/>
      <c r="D34" s="163"/>
      <c r="E34" s="114"/>
      <c r="F34" s="32"/>
      <c r="G34" s="42"/>
      <c r="H34" s="71"/>
      <c r="I34" s="60"/>
      <c r="J34" s="73"/>
    </row>
    <row r="35" spans="1:10" ht="15" customHeight="1">
      <c r="A35" s="18" t="s">
        <v>71</v>
      </c>
      <c r="B35" s="170" t="s">
        <v>72</v>
      </c>
      <c r="C35" s="171"/>
      <c r="D35" s="171"/>
      <c r="E35" s="172"/>
      <c r="F35" s="32" t="s">
        <v>39</v>
      </c>
      <c r="G35" s="19">
        <f>H35/E3/$K$7</f>
        <v>7.840819826464469</v>
      </c>
      <c r="H35" s="125">
        <v>130759</v>
      </c>
      <c r="I35" s="75"/>
      <c r="J35" s="61">
        <f>SUM(H35:I35)</f>
        <v>130759</v>
      </c>
    </row>
    <row r="36" spans="1:10" ht="14.25" customHeight="1">
      <c r="A36" s="20"/>
      <c r="B36" s="150" t="s">
        <v>34</v>
      </c>
      <c r="C36" s="150"/>
      <c r="D36" s="150"/>
      <c r="E36" s="150"/>
      <c r="F36" s="150"/>
      <c r="G36" s="19">
        <f>SUM(G31:G35)</f>
        <v>21.66081982646447</v>
      </c>
      <c r="H36" s="126">
        <f>SUM(H31:H35)</f>
        <v>340934.05</v>
      </c>
      <c r="I36" s="127"/>
      <c r="J36" s="126">
        <f>SUM(J31:J35)</f>
        <v>340934.05</v>
      </c>
    </row>
    <row r="37" spans="1:10" ht="15.75">
      <c r="A37" s="18" t="s">
        <v>73</v>
      </c>
      <c r="B37" s="150" t="s">
        <v>74</v>
      </c>
      <c r="C37" s="150"/>
      <c r="D37" s="150"/>
      <c r="E37" s="150"/>
      <c r="F37" s="150"/>
      <c r="G37" s="19">
        <f>H37/E3/$K$7</f>
        <v>0</v>
      </c>
      <c r="H37" s="78">
        <v>0</v>
      </c>
      <c r="I37" s="78"/>
      <c r="J37" s="79">
        <f>SUM(H37:I37)</f>
        <v>0</v>
      </c>
    </row>
    <row r="38" spans="1:10" ht="24.75" customHeight="1">
      <c r="A38" s="20"/>
      <c r="B38" s="150" t="s">
        <v>75</v>
      </c>
      <c r="C38" s="150"/>
      <c r="D38" s="150"/>
      <c r="E38" s="150"/>
      <c r="F38" s="150"/>
      <c r="G38" s="19">
        <f>SUM(G36:G37)</f>
        <v>21.66081982646447</v>
      </c>
      <c r="H38" s="126">
        <f>SUM(H36:H37)</f>
        <v>340934.05</v>
      </c>
      <c r="I38" s="127"/>
      <c r="J38" s="126">
        <f>SUM(J36:J37)</f>
        <v>340934.05</v>
      </c>
    </row>
    <row r="39" spans="1:10" ht="27" customHeight="1">
      <c r="A39" s="18">
        <v>3</v>
      </c>
      <c r="B39" s="156" t="s">
        <v>158</v>
      </c>
      <c r="C39" s="157"/>
      <c r="D39" s="157"/>
      <c r="E39" s="157"/>
      <c r="F39" s="157"/>
      <c r="G39" s="107"/>
      <c r="H39" s="64">
        <f>H14-H38</f>
        <v>-67234</v>
      </c>
      <c r="I39" s="64"/>
      <c r="J39" s="62">
        <f>J14-J38</f>
        <v>-67234</v>
      </c>
    </row>
    <row r="40" spans="2:6" ht="15.75">
      <c r="B40" s="26"/>
      <c r="F40" s="26"/>
    </row>
    <row r="41" spans="2:9" ht="36" customHeight="1">
      <c r="B41" s="223" t="s">
        <v>152</v>
      </c>
      <c r="C41" s="223"/>
      <c r="D41" s="223"/>
      <c r="E41" s="223"/>
      <c r="F41" s="223"/>
      <c r="G41" s="223"/>
      <c r="H41" s="223"/>
      <c r="I41" s="223"/>
    </row>
    <row r="42" spans="2:4" ht="25.5" customHeight="1">
      <c r="B42" s="26"/>
      <c r="C42" s="26"/>
      <c r="D42" s="26"/>
    </row>
    <row r="43" spans="2:4" ht="15.75">
      <c r="B43" s="128" t="s">
        <v>38</v>
      </c>
      <c r="C43" s="128"/>
      <c r="D43" s="128"/>
    </row>
    <row r="44" spans="2:4" ht="15.75">
      <c r="B44" s="33" t="s">
        <v>153</v>
      </c>
      <c r="C44" s="33"/>
      <c r="D44" s="128"/>
    </row>
    <row r="45" spans="2:4" ht="15.75" customHeight="1">
      <c r="B45" s="159" t="s">
        <v>154</v>
      </c>
      <c r="C45" s="159"/>
      <c r="D45" s="159"/>
    </row>
    <row r="47" ht="15.75">
      <c r="B47" t="s">
        <v>155</v>
      </c>
    </row>
    <row r="48" ht="15.75">
      <c r="J48" s="50"/>
    </row>
    <row r="49" ht="15.75">
      <c r="J49" s="50"/>
    </row>
    <row r="50" ht="15.75">
      <c r="J50" s="50"/>
    </row>
    <row r="51" ht="15.75">
      <c r="J51" s="50"/>
    </row>
    <row r="52" ht="15.75">
      <c r="J52" s="50"/>
    </row>
    <row r="53" ht="15.75">
      <c r="J53" s="50"/>
    </row>
    <row r="54" ht="15.75">
      <c r="J54" s="50"/>
    </row>
    <row r="55" ht="15.75">
      <c r="J55" s="50"/>
    </row>
    <row r="56" ht="15.75">
      <c r="J56" s="50"/>
    </row>
    <row r="57" ht="15.75">
      <c r="J57" s="50"/>
    </row>
    <row r="58" ht="15.75">
      <c r="J58" s="50"/>
    </row>
    <row r="59" ht="15.75">
      <c r="J59" s="50"/>
    </row>
    <row r="60" ht="15.75">
      <c r="J60" s="50"/>
    </row>
    <row r="61" ht="15.75">
      <c r="J61" s="50"/>
    </row>
    <row r="62" ht="15.75">
      <c r="J62" s="50"/>
    </row>
    <row r="63" ht="15.75">
      <c r="J63" s="50"/>
    </row>
  </sheetData>
  <mergeCells count="37">
    <mergeCell ref="B45:D45"/>
    <mergeCell ref="B36:F36"/>
    <mergeCell ref="B41:I41"/>
    <mergeCell ref="B37:F37"/>
    <mergeCell ref="B38:F38"/>
    <mergeCell ref="B39:F39"/>
    <mergeCell ref="B33:D33"/>
    <mergeCell ref="B34:D34"/>
    <mergeCell ref="B35:E35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7">
      <selection activeCell="A16" sqref="A16:I21"/>
    </sheetView>
  </sheetViews>
  <sheetFormatPr defaultColWidth="9.00390625" defaultRowHeight="15.75"/>
  <cols>
    <col min="1" max="1" width="12.125" style="129" bestFit="1" customWidth="1"/>
    <col min="2" max="2" width="10.75390625" style="129" customWidth="1"/>
    <col min="3" max="3" width="12.625" style="129" bestFit="1" customWidth="1"/>
    <col min="4" max="4" width="9.875" style="129" bestFit="1" customWidth="1"/>
    <col min="5" max="6" width="12.625" style="129" bestFit="1" customWidth="1"/>
    <col min="7" max="7" width="9.875" style="129" bestFit="1" customWidth="1"/>
    <col min="8" max="8" width="12.625" style="129" bestFit="1" customWidth="1"/>
    <col min="9" max="9" width="11.625" style="129" customWidth="1"/>
    <col min="10" max="10" width="7.125" style="129" bestFit="1" customWidth="1"/>
    <col min="11" max="11" width="9.00390625" style="129" customWidth="1"/>
    <col min="12" max="12" width="11.875" style="129" bestFit="1" customWidth="1"/>
    <col min="13" max="13" width="12.625" style="129" bestFit="1" customWidth="1"/>
    <col min="14" max="14" width="9.875" style="129" bestFit="1" customWidth="1"/>
    <col min="15" max="15" width="11.375" style="129" bestFit="1" customWidth="1"/>
    <col min="16" max="16" width="11.00390625" style="129" bestFit="1" customWidth="1"/>
    <col min="17" max="17" width="8.50390625" style="129" bestFit="1" customWidth="1"/>
    <col min="18" max="18" width="12.625" style="129" bestFit="1" customWidth="1"/>
    <col min="19" max="19" width="12.875" style="129" customWidth="1"/>
    <col min="20" max="16384" width="9.00390625" style="129" customWidth="1"/>
  </cols>
  <sheetData>
    <row r="1" spans="1:19" ht="109.5" customHeight="1" thickBot="1">
      <c r="A1" s="237" t="s">
        <v>163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19" ht="15.75" customHeight="1">
      <c r="A2" s="228" t="s">
        <v>76</v>
      </c>
      <c r="B2" s="232" t="s">
        <v>77</v>
      </c>
      <c r="C2" s="232" t="s">
        <v>91</v>
      </c>
      <c r="D2" s="232"/>
      <c r="E2" s="232"/>
      <c r="F2" s="232"/>
      <c r="G2" s="232"/>
      <c r="H2" s="232"/>
      <c r="I2" s="232"/>
      <c r="J2" s="238" t="s">
        <v>92</v>
      </c>
      <c r="K2" s="238"/>
      <c r="L2" s="238"/>
      <c r="M2" s="239" t="s">
        <v>93</v>
      </c>
      <c r="N2" s="232" t="s">
        <v>78</v>
      </c>
      <c r="O2" s="232"/>
      <c r="P2" s="232"/>
      <c r="Q2" s="232"/>
      <c r="R2" s="232"/>
      <c r="S2" s="241" t="s">
        <v>105</v>
      </c>
    </row>
    <row r="3" spans="1:19" ht="15.75">
      <c r="A3" s="229"/>
      <c r="B3" s="227"/>
      <c r="C3" s="233" t="s">
        <v>79</v>
      </c>
      <c r="D3" s="234"/>
      <c r="E3" s="235"/>
      <c r="F3" s="233" t="s">
        <v>80</v>
      </c>
      <c r="G3" s="234"/>
      <c r="H3" s="235"/>
      <c r="I3" s="224" t="s">
        <v>81</v>
      </c>
      <c r="J3" s="225" t="s">
        <v>94</v>
      </c>
      <c r="K3" s="230" t="s">
        <v>95</v>
      </c>
      <c r="L3" s="225" t="s">
        <v>96</v>
      </c>
      <c r="M3" s="240"/>
      <c r="N3" s="224" t="s">
        <v>97</v>
      </c>
      <c r="O3" s="227" t="s">
        <v>82</v>
      </c>
      <c r="P3" s="227" t="s">
        <v>83</v>
      </c>
      <c r="Q3" s="227" t="s">
        <v>84</v>
      </c>
      <c r="R3" s="227" t="s">
        <v>85</v>
      </c>
      <c r="S3" s="242"/>
    </row>
    <row r="4" spans="1:19" ht="47.25" customHeight="1">
      <c r="A4" s="229"/>
      <c r="B4" s="227"/>
      <c r="C4" s="132" t="s">
        <v>86</v>
      </c>
      <c r="D4" s="131" t="s">
        <v>84</v>
      </c>
      <c r="E4" s="131" t="s">
        <v>85</v>
      </c>
      <c r="F4" s="132" t="s">
        <v>86</v>
      </c>
      <c r="G4" s="131" t="s">
        <v>84</v>
      </c>
      <c r="H4" s="131" t="s">
        <v>85</v>
      </c>
      <c r="I4" s="224"/>
      <c r="J4" s="226"/>
      <c r="K4" s="231"/>
      <c r="L4" s="226"/>
      <c r="M4" s="231"/>
      <c r="N4" s="227"/>
      <c r="O4" s="227"/>
      <c r="P4" s="227"/>
      <c r="Q4" s="227"/>
      <c r="R4" s="227"/>
      <c r="S4" s="242"/>
    </row>
    <row r="5" spans="1:19" ht="31.5">
      <c r="A5" s="130">
        <v>1</v>
      </c>
      <c r="B5" s="131">
        <v>2</v>
      </c>
      <c r="C5" s="132">
        <v>3</v>
      </c>
      <c r="D5" s="131">
        <v>4</v>
      </c>
      <c r="E5" s="131" t="s">
        <v>98</v>
      </c>
      <c r="F5" s="132">
        <v>6</v>
      </c>
      <c r="G5" s="131">
        <v>7</v>
      </c>
      <c r="H5" s="131" t="s">
        <v>99</v>
      </c>
      <c r="I5" s="132" t="s">
        <v>100</v>
      </c>
      <c r="J5" s="131">
        <v>10</v>
      </c>
      <c r="K5" s="131">
        <v>11</v>
      </c>
      <c r="L5" s="132">
        <v>12</v>
      </c>
      <c r="M5" s="132" t="s">
        <v>101</v>
      </c>
      <c r="N5" s="131">
        <v>14</v>
      </c>
      <c r="O5" s="132">
        <v>15</v>
      </c>
      <c r="P5" s="131">
        <v>16</v>
      </c>
      <c r="Q5" s="131">
        <v>17</v>
      </c>
      <c r="R5" s="132" t="s">
        <v>102</v>
      </c>
      <c r="S5" s="133" t="s">
        <v>103</v>
      </c>
    </row>
    <row r="6" spans="1:19" ht="15.75">
      <c r="A6" s="134">
        <v>-237728.04</v>
      </c>
      <c r="B6" s="135" t="s">
        <v>164</v>
      </c>
      <c r="C6" s="136">
        <v>234140.8</v>
      </c>
      <c r="D6" s="136">
        <v>9038.64</v>
      </c>
      <c r="E6" s="136">
        <f>C6+D6</f>
        <v>243179.44</v>
      </c>
      <c r="F6" s="136">
        <f>'отчте12(10-12)'!H10</f>
        <v>263383.88</v>
      </c>
      <c r="G6" s="136">
        <f>'отчте12(10-12)'!H11</f>
        <v>10316.17</v>
      </c>
      <c r="H6" s="136">
        <f>SUM(F6:G6)</f>
        <v>273700.05</v>
      </c>
      <c r="I6" s="137">
        <f>E6-H6</f>
        <v>-30520.609999999986</v>
      </c>
      <c r="J6" s="136">
        <v>0</v>
      </c>
      <c r="K6" s="136">
        <v>0</v>
      </c>
      <c r="L6" s="136">
        <v>0</v>
      </c>
      <c r="M6" s="136">
        <f>H6+J6+K6+L6</f>
        <v>273700.05</v>
      </c>
      <c r="N6" s="136">
        <f>'отчте12(10-12)'!J29</f>
        <v>25682.12</v>
      </c>
      <c r="O6" s="136">
        <f>'отчте12(10-12)'!J31-'отчте12(10-12)'!J29</f>
        <v>184492.93</v>
      </c>
      <c r="P6" s="136">
        <f>'отчте12(10-12)'!H35</f>
        <v>130759</v>
      </c>
      <c r="Q6" s="137">
        <f>'отчте12(10-12)'!H37</f>
        <v>0</v>
      </c>
      <c r="R6" s="136">
        <f>SUM(N6:Q6)</f>
        <v>340934.05</v>
      </c>
      <c r="S6" s="138">
        <f>M6-R6</f>
        <v>-67234</v>
      </c>
    </row>
    <row r="7" spans="1:19" ht="15.75">
      <c r="A7" s="134"/>
      <c r="B7" s="135"/>
      <c r="C7" s="136"/>
      <c r="D7" s="136"/>
      <c r="E7" s="136">
        <f>SUM(C7:D7)</f>
        <v>0</v>
      </c>
      <c r="F7" s="136"/>
      <c r="G7" s="136"/>
      <c r="H7" s="136">
        <f>SUM(F7:G7)</f>
        <v>0</v>
      </c>
      <c r="I7" s="137">
        <f>E7-H7</f>
        <v>0</v>
      </c>
      <c r="J7" s="136">
        <v>0</v>
      </c>
      <c r="K7" s="136">
        <v>0</v>
      </c>
      <c r="L7" s="136">
        <v>0</v>
      </c>
      <c r="M7" s="136">
        <f>H7+J7+K7+L7</f>
        <v>0</v>
      </c>
      <c r="N7" s="136"/>
      <c r="O7" s="136"/>
      <c r="P7" s="136"/>
      <c r="Q7" s="137">
        <v>0</v>
      </c>
      <c r="R7" s="136">
        <f>SUM(N7:Q7)</f>
        <v>0</v>
      </c>
      <c r="S7" s="138">
        <f>M7-R7</f>
        <v>0</v>
      </c>
    </row>
    <row r="8" spans="1:19" ht="15.75">
      <c r="A8" s="134"/>
      <c r="B8" s="135"/>
      <c r="C8" s="136"/>
      <c r="D8" s="136"/>
      <c r="E8" s="136">
        <f>SUM(C8:D8)</f>
        <v>0</v>
      </c>
      <c r="F8" s="136"/>
      <c r="G8" s="136"/>
      <c r="H8" s="136">
        <f>SUM(F8:G8)</f>
        <v>0</v>
      </c>
      <c r="I8" s="137">
        <f>E8-H8</f>
        <v>0</v>
      </c>
      <c r="J8" s="136">
        <v>0</v>
      </c>
      <c r="K8" s="136">
        <v>0</v>
      </c>
      <c r="L8" s="136">
        <v>0</v>
      </c>
      <c r="M8" s="136">
        <f>H8+J8+K8+L8</f>
        <v>0</v>
      </c>
      <c r="N8" s="136"/>
      <c r="O8" s="136"/>
      <c r="P8" s="136"/>
      <c r="Q8" s="137">
        <v>0</v>
      </c>
      <c r="R8" s="136">
        <f>SUM(N8:Q8)</f>
        <v>0</v>
      </c>
      <c r="S8" s="138">
        <f>M8-R8</f>
        <v>0</v>
      </c>
    </row>
    <row r="9" spans="1:19" ht="15.75">
      <c r="A9" s="134"/>
      <c r="B9" s="135"/>
      <c r="C9" s="136"/>
      <c r="D9" s="136"/>
      <c r="E9" s="136">
        <f>SUM(C9:D9)</f>
        <v>0</v>
      </c>
      <c r="F9" s="136"/>
      <c r="G9" s="136"/>
      <c r="H9" s="136">
        <f>SUM(F9:G9)</f>
        <v>0</v>
      </c>
      <c r="I9" s="137">
        <f>E9-H9</f>
        <v>0</v>
      </c>
      <c r="J9" s="136">
        <f>'[1]отчет 2011'!I12</f>
        <v>0</v>
      </c>
      <c r="K9" s="136">
        <f>'[1]отчет 2011'!I13</f>
        <v>0</v>
      </c>
      <c r="L9" s="136">
        <f>'[1]отчет 2011'!H13</f>
        <v>0</v>
      </c>
      <c r="M9" s="136">
        <f>H9+J9+K9+L9</f>
        <v>0</v>
      </c>
      <c r="N9" s="136"/>
      <c r="O9" s="136"/>
      <c r="P9" s="136"/>
      <c r="Q9" s="137">
        <v>0</v>
      </c>
      <c r="R9" s="136">
        <f>SUM(N9:Q9)</f>
        <v>0</v>
      </c>
      <c r="S9" s="138">
        <f>M9-R9</f>
        <v>0</v>
      </c>
    </row>
    <row r="10" spans="1:19" ht="15.75">
      <c r="A10" s="134"/>
      <c r="B10" s="135"/>
      <c r="C10" s="136"/>
      <c r="D10" s="136"/>
      <c r="E10" s="136">
        <f>SUM(C10:D10)</f>
        <v>0</v>
      </c>
      <c r="F10" s="136"/>
      <c r="G10" s="136"/>
      <c r="H10" s="136">
        <f>SUM(F10:G10)</f>
        <v>0</v>
      </c>
      <c r="I10" s="137">
        <f>E10-H10</f>
        <v>0</v>
      </c>
      <c r="J10" s="136">
        <v>0</v>
      </c>
      <c r="K10" s="136">
        <v>0</v>
      </c>
      <c r="L10" s="136">
        <v>0</v>
      </c>
      <c r="M10" s="136">
        <f>H10+J10+K10+L10</f>
        <v>0</v>
      </c>
      <c r="N10" s="136"/>
      <c r="O10" s="136"/>
      <c r="P10" s="136"/>
      <c r="Q10" s="137">
        <v>0</v>
      </c>
      <c r="R10" s="136">
        <f>SUM(N10:Q10)</f>
        <v>0</v>
      </c>
      <c r="S10" s="138">
        <f>M10-R10</f>
        <v>0</v>
      </c>
    </row>
    <row r="11" spans="1:19" ht="16.5" thickBot="1">
      <c r="A11" s="139"/>
      <c r="B11" s="140" t="s">
        <v>104</v>
      </c>
      <c r="C11" s="141">
        <f aca="true" t="shared" si="0" ref="C11:R11">SUM(C6:C10)</f>
        <v>234140.8</v>
      </c>
      <c r="D11" s="141">
        <f t="shared" si="0"/>
        <v>9038.64</v>
      </c>
      <c r="E11" s="141">
        <f t="shared" si="0"/>
        <v>243179.44</v>
      </c>
      <c r="F11" s="141">
        <f t="shared" si="0"/>
        <v>263383.88</v>
      </c>
      <c r="G11" s="141">
        <f t="shared" si="0"/>
        <v>10316.17</v>
      </c>
      <c r="H11" s="141">
        <f t="shared" si="0"/>
        <v>273700.05</v>
      </c>
      <c r="I11" s="141">
        <f t="shared" si="0"/>
        <v>-30520.609999999986</v>
      </c>
      <c r="J11" s="141">
        <f t="shared" si="0"/>
        <v>0</v>
      </c>
      <c r="K11" s="141">
        <f t="shared" si="0"/>
        <v>0</v>
      </c>
      <c r="L11" s="141">
        <f t="shared" si="0"/>
        <v>0</v>
      </c>
      <c r="M11" s="141">
        <f t="shared" si="0"/>
        <v>273700.05</v>
      </c>
      <c r="N11" s="141">
        <f t="shared" si="0"/>
        <v>25682.12</v>
      </c>
      <c r="O11" s="141">
        <f t="shared" si="0"/>
        <v>184492.93</v>
      </c>
      <c r="P11" s="141">
        <f t="shared" si="0"/>
        <v>130759</v>
      </c>
      <c r="Q11" s="141">
        <f t="shared" si="0"/>
        <v>0</v>
      </c>
      <c r="R11" s="141">
        <f t="shared" si="0"/>
        <v>340934.05</v>
      </c>
      <c r="S11" s="142">
        <f>A6+SUM(S6:S10)</f>
        <v>-304962.04000000004</v>
      </c>
    </row>
    <row r="14" spans="15:19" ht="16.5">
      <c r="O14" s="143"/>
      <c r="P14" s="143"/>
      <c r="Q14" s="143"/>
      <c r="R14" s="143"/>
      <c r="S14" s="144"/>
    </row>
    <row r="15" spans="15:19" ht="16.5">
      <c r="O15" s="143"/>
      <c r="P15" s="143"/>
      <c r="Q15" s="143"/>
      <c r="R15" s="143"/>
      <c r="S15" s="143"/>
    </row>
    <row r="16" spans="2:9" s="145" customFormat="1" ht="18.75">
      <c r="B16" s="236" t="s">
        <v>159</v>
      </c>
      <c r="C16" s="236"/>
      <c r="D16" s="236"/>
      <c r="E16" s="236"/>
      <c r="F16" s="236" t="s">
        <v>160</v>
      </c>
      <c r="G16" s="236"/>
      <c r="H16" s="236"/>
      <c r="I16" s="236"/>
    </row>
    <row r="17" s="145" customFormat="1" ht="18.75"/>
    <row r="19" spans="2:8" ht="29.25" customHeight="1">
      <c r="B19" s="146" t="s">
        <v>161</v>
      </c>
      <c r="F19" s="236" t="s">
        <v>162</v>
      </c>
      <c r="G19" s="236"/>
      <c r="H19" s="236"/>
    </row>
    <row r="21" ht="15.75">
      <c r="A21" s="129" t="s">
        <v>155</v>
      </c>
    </row>
  </sheetData>
  <sheetProtection/>
  <mergeCells count="22">
    <mergeCell ref="B16:E16"/>
    <mergeCell ref="F16:I16"/>
    <mergeCell ref="F19:H19"/>
    <mergeCell ref="A1:S1"/>
    <mergeCell ref="J2:L2"/>
    <mergeCell ref="M2:M4"/>
    <mergeCell ref="N2:R2"/>
    <mergeCell ref="S2:S4"/>
    <mergeCell ref="O3:O4"/>
    <mergeCell ref="P3:P4"/>
    <mergeCell ref="A2:A4"/>
    <mergeCell ref="K3:K4"/>
    <mergeCell ref="L3:L4"/>
    <mergeCell ref="N3:N4"/>
    <mergeCell ref="B2:B4"/>
    <mergeCell ref="C2:I2"/>
    <mergeCell ref="C3:E3"/>
    <mergeCell ref="F3:H3"/>
    <mergeCell ref="I3:I4"/>
    <mergeCell ref="J3:J4"/>
    <mergeCell ref="Q3:Q4"/>
    <mergeCell ref="R3:R4"/>
  </mergeCells>
  <printOptions/>
  <pageMargins left="0.3937007874015748" right="0" top="0" bottom="0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2013-02-26T10:31:31Z</cp:lastPrinted>
  <dcterms:created xsi:type="dcterms:W3CDTF">2009-08-26T03:25:10Z</dcterms:created>
  <dcterms:modified xsi:type="dcterms:W3CDTF">2013-05-08T04:59:36Z</dcterms:modified>
  <cp:category/>
  <cp:version/>
  <cp:contentType/>
  <cp:contentStatus/>
</cp:coreProperties>
</file>