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311" windowWidth="15480" windowHeight="11640" tabRatio="705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10.09" sheetId="7" state="hidden" r:id="rId7"/>
    <sheet name="план2013" sheetId="8" state="hidden" r:id="rId8"/>
    <sheet name="отчет 12г(09-12)" sheetId="9" r:id="rId9"/>
    <sheet name="накопит отчет" sheetId="10" state="hidden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<sst xmlns="http://schemas.openxmlformats.org/spreadsheetml/2006/main" count="793" uniqueCount="257">
  <si>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</si>
  <si>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</si>
  <si>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</si>
  <si>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</si>
  <si>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</si>
  <si>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</si>
  <si>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</si>
  <si>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</si>
  <si>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</si>
  <si>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</si>
  <si>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</si>
  <si>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</si>
  <si>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</si>
  <si>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</si>
  <si>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</si>
  <si>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</si>
  <si>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</si>
  <si>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</si>
  <si>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</si>
  <si>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</si>
  <si>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</si>
  <si>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</si>
  <si>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</si>
  <si>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</si>
  <si>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</si>
  <si>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</si>
  <si>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</si>
  <si>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</si>
  <si>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</si>
  <si>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</si>
  <si>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</si>
  <si>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</si>
  <si>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</si>
  <si>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</si>
  <si>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</si>
  <si>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</si>
  <si>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</si>
  <si>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</si>
  <si>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</si>
  <si>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</si>
  <si>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</si>
  <si>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</si>
  <si>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</si>
  <si>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</si>
  <si>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</si>
  <si>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</si>
  <si>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</si>
  <si>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</si>
  <si>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</si>
  <si>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</si>
  <si>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</si>
  <si>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</si>
  <si>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</si>
  <si>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</si>
  <si>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</si>
  <si>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</si>
  <si>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</si>
  <si>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</si>
  <si>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</si>
  <si>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</si>
  <si>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</si>
  <si>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</si>
  <si>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</si>
  <si>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</si>
  <si>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</si>
  <si>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</si>
  <si>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</si>
  <si>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</si>
  <si>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</si>
  <si>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</si>
  <si>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</si>
  <si>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</si>
  <si>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</si>
  <si>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</si>
  <si>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</si>
  <si>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</si>
  <si>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</si>
  <si>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</si>
  <si>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</si>
  <si>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</si>
  <si>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</si>
  <si>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</si>
  <si>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</si>
  <si>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есть</t>
  </si>
  <si>
    <t>Старший по дому                                                                  А.Н. Журавлев</t>
  </si>
  <si>
    <t xml:space="preserve">                      Представитель собственников  - старший по дому Журавлев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</si>
  <si>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131 А</t>
  </si>
  <si>
    <t>Претензий по управлению нет (да)</t>
  </si>
  <si>
    <t>ОТЧЕТ
о выполненных работах в 2008 году по договору управления МКД 
№223 от 28.03.2008 г., заключенного между ООО "ОЖКС №6" и собственниками многоквартирного дома
по адресу:  пр-т Ленина, 131 а.</t>
  </si>
  <si>
    <t xml:space="preserve">            Представитель собственников  - старший по дому Журавлев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</si>
  <si>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</si>
  <si>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</si>
  <si>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</si>
  <si>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</si>
  <si>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</si>
  <si>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</si>
  <si>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</si>
  <si>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</si>
  <si>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</si>
  <si>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</si>
  <si>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</si>
  <si>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</si>
  <si>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</si>
  <si>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</si>
  <si>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</si>
  <si>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</si>
  <si>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</si>
  <si>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</si>
  <si>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</si>
  <si>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</si>
  <si>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</si>
  <si>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</si>
  <si>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</si>
  <si>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</si>
  <si>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</si>
  <si>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</si>
  <si>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</si>
  <si>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</si>
  <si>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</si>
  <si>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</si>
  <si>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</si>
  <si>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</si>
  <si>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</si>
  <si>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</si>
  <si>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</si>
  <si>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</si>
  <si>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</si>
  <si>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</si>
  <si>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</si>
  <si>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</si>
  <si>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</si>
  <si>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</si>
  <si>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</si>
  <si>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</si>
  <si>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</si>
  <si>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</si>
  <si>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</si>
  <si>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</si>
  <si>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</si>
  <si>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</si>
  <si>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</si>
  <si>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</si>
  <si>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</si>
  <si>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</si>
  <si>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</si>
  <si>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</si>
  <si>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</si>
  <si>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</si>
  <si>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</si>
  <si>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</si>
  <si>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</si>
  <si>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</si>
  <si>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</si>
  <si>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</si>
  <si>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</si>
  <si>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</si>
  <si>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</si>
  <si>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</si>
  <si>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</si>
  <si>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</si>
  <si>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</si>
  <si>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</si>
  <si>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</si>
  <si>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</si>
  <si>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</si>
  <si>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</si>
  <si>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</si>
  <si>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</si>
  <si>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</si>
  <si>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</si>
  <si>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</si>
  <si>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</si>
  <si>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</si>
  <si>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</si>
  <si>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</si>
  <si>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</si>
  <si>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</si>
  <si>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</si>
  <si>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</si>
  <si>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</si>
  <si>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</si>
  <si>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</si>
  <si>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</si>
  <si>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</si>
  <si>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</si>
  <si>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</si>
  <si>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</si>
  <si>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</si>
  <si>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>ОТЧЕТ
за  2009 г. о выполненнии условий  договора управления МКД
№ 223/6 от 28.03.2008 г., заключенного между ООО "ОЖКС №6" 
и собственниками многоквартирного дома
по адресу:  пр. Ленина, 131 А</t>
  </si>
  <si>
    <t>ОТЧЕТ
за  2010 г. о выполненнии условий  договора управления МКД 
№ 223/6 от 28.03.2008 г., заключенного между ООО "ОЖКС №6" 
и собственниками многоквартирного дома
по адресу:  пр. Ленина, 131 А</t>
  </si>
  <si>
    <t xml:space="preserve">                 Представитель собственников  - старший по дому Журавлев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</si>
  <si>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        Л.И. Никашина                               </t>
  </si>
  <si>
    <t>Смета
расходов и доходов  на  2011 г.
согласно договора управления МКД 
№223/6 от 28.03.2008 г., заключенного между ООО "ОЖКС №6" 
и собственниками многоквартирного дома
по адресу:  пр. Ленина, 131 А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</si>
  <si>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</si>
  <si>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</si>
  <si>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</si>
  <si>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</si>
  <si>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</si>
  <si>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</si>
  <si>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</si>
  <si>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</si>
  <si>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</si>
  <si>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ОТЧЕТ
за  2011 г. о выполненнии условий  договора управления МКД 
№ 223/6 от 28.03.2008 г., заключенного между ООО "ОЖКС №6" 
и собственниками многоквартирного дома
по адресу:  пр. Ленина, 131 А</t>
  </si>
  <si>
    <t xml:space="preserve">                 Представитель собственников  - старший по дому 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</si>
  <si>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</si>
  <si>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 ______________________________</t>
  </si>
  <si>
    <t>Смета
расходов и доходов  на  2012 г.
согласно договора управления МКД 
№223/6 от 28.03.2008 г., заключенного между ООО "ОЖКС №6" 
и собственниками многоквартирного дома
по адресу:  пр. Ленина, 131 А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</si>
  <si>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</si>
  <si>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</si>
  <si>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</si>
  <si>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</si>
  <si>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                                                                     на оказание услуг и  выполнение работ по содержанию,                     текущему и капитальному ремонту общего имущества МКД                               № ___ от "____"___________2012г.</t>
  </si>
  <si>
    <t>Расчет стоимости договора и тарифа 1 м2 на 2012г.</t>
  </si>
  <si>
    <t>1.1.</t>
  </si>
  <si>
    <t>5=гр.4*Sдома*4мес.</t>
  </si>
  <si>
    <t>Тариф 
на 1 кв.м. сентябрь-декабрь 2012г.
руб.</t>
  </si>
  <si>
    <t>Стоимость работ
сентябрь-декабрь 2012г.             руб.</t>
  </si>
  <si>
    <t>подметание асфальта -   1 раз/неделю,                
подбор мусора - ежедневно</t>
  </si>
  <si>
    <t>по плану работ</t>
  </si>
  <si>
    <t>1.2.</t>
  </si>
  <si>
    <t>1.3.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</si>
  <si>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</si>
  <si>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</si>
  <si>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Представитель Собственников</t>
  </si>
  <si>
    <t>_________________ Л.И. Никашина</t>
  </si>
  <si>
    <t xml:space="preserve">                   ________________________</t>
  </si>
  <si>
    <t>Тариф с 1 сентября 2012 г. - 11,21 руб., капитальный ремонт - 0,80 руб.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</si>
  <si>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</si>
  <si>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</si>
  <si>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</si>
  <si>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</si>
  <si>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</si>
  <si>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</si>
  <si>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</si>
  <si>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</si>
  <si>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</si>
  <si>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</si>
  <si>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</si>
  <si>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</si>
  <si>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21/6 от 10.09.2012 г., 
заключенного между ООО "ОЖКС № 6"   
и собственниками многоквартирного дома
по адресу:  пр. Ленина, 131 А</t>
  </si>
  <si>
    <t xml:space="preserve">                 Совет МКД в лице 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01.09.12г. по 31.12.12г.</t>
  </si>
  <si>
    <t>кол-во мес по нов. дог-ру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</si>
  <si>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</si>
  <si>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</si>
  <si>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</si>
  <si>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</si>
  <si>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ОТЧЕТ
с 01.09.12г. По 31.12.12г. о выполненнии условий  договора на оказание услуг МКД 
№ 21/6 от 10.09.12г., заключенного между ООО "ОЖКС №6" 
и собственниками многоквартирного дома
по адресу:  пр. Ленина, 131 А</t>
  </si>
  <si>
    <t xml:space="preserve">Финансовый результат с 01.09.12 - 31.12.12г. (+ экономия,- перерасход)                                                      </t>
  </si>
  <si>
    <t>результат
 за год
(+эконом., 
-перерасх.)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</si>
  <si>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</si>
  <si>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</si>
  <si>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</si>
  <si>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</si>
  <si>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21/6 от 10.09.12г., заключенного между ООО "ОЖКС №6" и собственниками многоквартирного дома
по адресу:  пр. Ленина, 131 А</t>
  </si>
  <si>
    <t>с 01.09.12г.</t>
  </si>
  <si>
    <t>Сумма 
с 01.09.12г.-31.12.12г., руб.</t>
  </si>
  <si>
    <t>Тариф 01.09.12г-31.12.12г.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</si>
</sst>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#,##0.000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7" fillId="0" borderId="15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1" fontId="2" fillId="0" borderId="2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2" fontId="2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6"/>
  <sheetViews>
    <sheetView zoomScalePageLayoutView="0" workbookViewId="0" topLeftCell="A10">
      <selection activeCell="D14" sqref="D1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625" style="0" customWidth="1"/>
    <col min="5" max="5" width="12.375" style="0" customWidth="1"/>
    <col min="6" max="6" width="10.625" style="0" bestFit="1" customWidth="1"/>
  </cols>
  <sheetData>
    <row r="1" spans="1:4" ht="104.25" customHeight="1">
      <c r="A1" s="192" t="s">
        <v>88</v>
      </c>
      <c r="B1" s="193"/>
      <c r="C1" s="193"/>
      <c r="D1" s="193"/>
    </row>
    <row r="2" spans="1:5" ht="80.25" customHeight="1">
      <c r="A2" s="194" t="s">
        <v>89</v>
      </c>
      <c r="B2" s="195"/>
      <c r="C2" s="195"/>
      <c r="D2" s="195"/>
      <c r="E2" t="s">
        <v>80</v>
      </c>
    </row>
    <row r="3" spans="1:5" ht="30.75" customHeight="1">
      <c r="A3" s="22" t="s">
        <v>90</v>
      </c>
      <c r="B3" s="22" t="s">
        <v>91</v>
      </c>
      <c r="C3" s="11" t="s">
        <v>92</v>
      </c>
      <c r="D3" s="50" t="s">
        <v>93</v>
      </c>
      <c r="E3" s="51" t="s">
        <v>94</v>
      </c>
    </row>
    <row r="4" spans="1:5" ht="18.75" customHeight="1">
      <c r="A4" s="52" t="s">
        <v>95</v>
      </c>
      <c r="B4" s="53" t="s">
        <v>96</v>
      </c>
      <c r="C4" s="11" t="s">
        <v>97</v>
      </c>
      <c r="D4" s="54">
        <v>5</v>
      </c>
      <c r="E4" s="54">
        <v>5</v>
      </c>
    </row>
    <row r="5" spans="1:5" ht="15.75">
      <c r="A5" s="55" t="s">
        <v>98</v>
      </c>
      <c r="B5" s="56" t="s">
        <v>99</v>
      </c>
      <c r="C5" s="57" t="s">
        <v>100</v>
      </c>
      <c r="D5" s="58">
        <v>2729</v>
      </c>
      <c r="E5" s="58">
        <v>2729</v>
      </c>
    </row>
    <row r="6" spans="1:5" ht="14.25" customHeight="1">
      <c r="A6" s="55" t="s">
        <v>101</v>
      </c>
      <c r="B6" s="56" t="s">
        <v>102</v>
      </c>
      <c r="C6" s="57" t="s">
        <v>97</v>
      </c>
      <c r="D6" s="59">
        <v>60</v>
      </c>
      <c r="E6" s="59">
        <v>60</v>
      </c>
    </row>
    <row r="7" spans="1:5" ht="16.5" customHeight="1">
      <c r="A7" s="55" t="s">
        <v>103</v>
      </c>
      <c r="B7" s="56" t="s">
        <v>104</v>
      </c>
      <c r="C7" s="49"/>
      <c r="D7" s="58"/>
      <c r="E7" s="58"/>
    </row>
    <row r="8" spans="1:5" ht="15.75">
      <c r="A8" s="60" t="s">
        <v>105</v>
      </c>
      <c r="B8" s="56" t="s">
        <v>106</v>
      </c>
      <c r="C8" s="49"/>
      <c r="D8" s="58"/>
      <c r="E8" s="58"/>
    </row>
    <row r="9" spans="1:5" ht="17.25" customHeight="1">
      <c r="A9" s="61"/>
      <c r="B9" s="34" t="s">
        <v>107</v>
      </c>
      <c r="C9" s="49" t="s">
        <v>108</v>
      </c>
      <c r="D9" s="58">
        <v>207144.61</v>
      </c>
      <c r="E9" s="58">
        <v>207144.61</v>
      </c>
    </row>
    <row r="10" spans="1:5" ht="16.5" customHeight="1">
      <c r="A10" s="61"/>
      <c r="B10" s="34" t="s">
        <v>109</v>
      </c>
      <c r="C10" s="49" t="s">
        <v>108</v>
      </c>
      <c r="D10" s="58">
        <v>185170.49</v>
      </c>
      <c r="E10" s="58">
        <v>185170.49</v>
      </c>
    </row>
    <row r="11" spans="1:5" ht="15.75">
      <c r="A11" s="61"/>
      <c r="B11" s="56" t="s">
        <v>110</v>
      </c>
      <c r="C11" s="57" t="s">
        <v>108</v>
      </c>
      <c r="D11" s="62">
        <f>D9-D10</f>
        <v>21974.119999999995</v>
      </c>
      <c r="E11" s="62">
        <f>E9-E10</f>
        <v>21974.119999999995</v>
      </c>
    </row>
    <row r="12" spans="1:5" ht="18" customHeight="1">
      <c r="A12" s="60" t="s">
        <v>111</v>
      </c>
      <c r="B12" s="56" t="s">
        <v>112</v>
      </c>
      <c r="C12" s="49"/>
      <c r="D12" s="58"/>
      <c r="E12" s="58"/>
    </row>
    <row r="13" spans="1:5" ht="15.75">
      <c r="A13" s="61"/>
      <c r="B13" s="34" t="s">
        <v>107</v>
      </c>
      <c r="C13" s="49" t="s">
        <v>108</v>
      </c>
      <c r="D13" s="58">
        <v>12333.37</v>
      </c>
      <c r="E13" s="58"/>
    </row>
    <row r="14" spans="1:5" ht="15.75" customHeight="1">
      <c r="A14" s="61"/>
      <c r="B14" s="34" t="s">
        <v>109</v>
      </c>
      <c r="C14" s="49" t="s">
        <v>108</v>
      </c>
      <c r="D14" s="58">
        <v>11393.48</v>
      </c>
      <c r="E14" s="58"/>
    </row>
    <row r="15" spans="1:5" ht="15.75" customHeight="1">
      <c r="A15" s="61"/>
      <c r="B15" s="56" t="s">
        <v>110</v>
      </c>
      <c r="C15" s="57" t="s">
        <v>108</v>
      </c>
      <c r="D15" s="62">
        <f>D13-D14</f>
        <v>939.8900000000012</v>
      </c>
      <c r="E15" s="62">
        <f>E13-E14</f>
        <v>0</v>
      </c>
    </row>
    <row r="16" spans="1:5" ht="15.75" customHeight="1">
      <c r="A16" s="60" t="s">
        <v>113</v>
      </c>
      <c r="B16" s="56" t="s">
        <v>114</v>
      </c>
      <c r="C16" s="49"/>
      <c r="D16" s="58"/>
      <c r="E16" s="58"/>
    </row>
    <row r="17" spans="1:5" ht="15.75" customHeight="1">
      <c r="A17" s="61"/>
      <c r="B17" s="34" t="s">
        <v>107</v>
      </c>
      <c r="C17" s="49" t="s">
        <v>108</v>
      </c>
      <c r="D17" s="58">
        <v>4099.56</v>
      </c>
      <c r="E17" s="58">
        <v>4099.56</v>
      </c>
    </row>
    <row r="18" spans="1:5" ht="15.75" customHeight="1">
      <c r="A18" s="61"/>
      <c r="B18" s="34" t="s">
        <v>109</v>
      </c>
      <c r="C18" s="49" t="s">
        <v>108</v>
      </c>
      <c r="D18" s="58">
        <v>3175.29</v>
      </c>
      <c r="E18" s="58">
        <v>3175.29</v>
      </c>
    </row>
    <row r="19" spans="1:5" ht="15.75" customHeight="1">
      <c r="A19" s="61"/>
      <c r="B19" s="56" t="s">
        <v>110</v>
      </c>
      <c r="C19" s="57" t="s">
        <v>108</v>
      </c>
      <c r="D19" s="62">
        <f>D17-D18</f>
        <v>924.2700000000004</v>
      </c>
      <c r="E19" s="62">
        <f>E17-E18</f>
        <v>924.2700000000004</v>
      </c>
    </row>
    <row r="20" spans="1:5" ht="15" customHeight="1">
      <c r="A20" s="61"/>
      <c r="B20" s="56" t="s">
        <v>115</v>
      </c>
      <c r="C20" s="49" t="s">
        <v>108</v>
      </c>
      <c r="D20" s="62">
        <f>D9+D13+D17</f>
        <v>223577.53999999998</v>
      </c>
      <c r="E20" s="62">
        <f>E9+E13+E17</f>
        <v>211244.16999999998</v>
      </c>
    </row>
    <row r="21" spans="1:5" ht="15.75">
      <c r="A21" s="61"/>
      <c r="B21" s="56" t="s">
        <v>116</v>
      </c>
      <c r="C21" s="49" t="s">
        <v>108</v>
      </c>
      <c r="D21" s="62">
        <f>D11+D15+D19</f>
        <v>23838.279999999995</v>
      </c>
      <c r="E21" s="62">
        <f>E11+E15+E19</f>
        <v>22898.389999999996</v>
      </c>
    </row>
    <row r="22" spans="1:5" ht="15.75" customHeight="1">
      <c r="A22" s="55" t="s">
        <v>117</v>
      </c>
      <c r="B22" s="63" t="s">
        <v>118</v>
      </c>
      <c r="C22" s="49"/>
      <c r="D22" s="58"/>
      <c r="E22" s="58"/>
    </row>
    <row r="23" spans="1:5" ht="94.5">
      <c r="A23" s="64" t="s">
        <v>119</v>
      </c>
      <c r="B23" s="65" t="s">
        <v>120</v>
      </c>
      <c r="C23" s="57" t="s">
        <v>108</v>
      </c>
      <c r="D23" s="62">
        <f>D9*0.11</f>
        <v>22785.9071</v>
      </c>
      <c r="E23" s="62">
        <f>E9*0.11</f>
        <v>22785.9071</v>
      </c>
    </row>
    <row r="24" spans="1:6" ht="94.5" customHeight="1">
      <c r="A24" s="64" t="s">
        <v>121</v>
      </c>
      <c r="B24" s="65" t="s">
        <v>122</v>
      </c>
      <c r="C24" s="57" t="s">
        <v>108</v>
      </c>
      <c r="D24" s="62">
        <f>D9*0.7</f>
        <v>145001.22699999998</v>
      </c>
      <c r="E24" s="62">
        <f>E9*0.7</f>
        <v>145001.22699999998</v>
      </c>
      <c r="F24" t="s">
        <v>80</v>
      </c>
    </row>
    <row r="25" spans="1:5" ht="19.5" customHeight="1">
      <c r="A25" s="64" t="s">
        <v>123</v>
      </c>
      <c r="B25" s="56" t="s">
        <v>124</v>
      </c>
      <c r="C25" s="57" t="s">
        <v>108</v>
      </c>
      <c r="D25" s="66">
        <v>134800</v>
      </c>
      <c r="E25" s="66">
        <v>134800</v>
      </c>
    </row>
    <row r="26" spans="1:5" ht="18.75" customHeight="1" hidden="1">
      <c r="A26" s="67" t="s">
        <v>125</v>
      </c>
      <c r="B26" s="56" t="s">
        <v>126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127</v>
      </c>
      <c r="C27" s="57" t="s">
        <v>108</v>
      </c>
      <c r="D27" s="62">
        <f>D23+D24+D25+D26</f>
        <v>302587.1341</v>
      </c>
      <c r="E27" s="62">
        <f>E23+E24+E25+E26</f>
        <v>302587.1341</v>
      </c>
      <c r="F27" s="115">
        <f>D10+D14-D27</f>
        <v>-106023.16410000002</v>
      </c>
    </row>
    <row r="28" spans="1:5" ht="17.25" customHeight="1">
      <c r="A28" s="60" t="s">
        <v>62</v>
      </c>
      <c r="B28" s="56" t="s">
        <v>128</v>
      </c>
      <c r="C28" s="49" t="s">
        <v>108</v>
      </c>
      <c r="D28" s="58">
        <f>D20-D27</f>
        <v>-79009.59410000005</v>
      </c>
      <c r="E28" s="58">
        <f>E20-E27</f>
        <v>-91342.96410000004</v>
      </c>
    </row>
    <row r="29" spans="1:5" ht="31.5">
      <c r="A29" s="64" t="s">
        <v>129</v>
      </c>
      <c r="B29" s="65" t="s">
        <v>130</v>
      </c>
      <c r="C29" s="49" t="s">
        <v>108</v>
      </c>
      <c r="D29" s="58">
        <f>D28-D21</f>
        <v>-102847.87410000004</v>
      </c>
      <c r="E29" s="58">
        <f>E28-E21</f>
        <v>-114241.35410000004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96" t="s">
        <v>84</v>
      </c>
      <c r="C34" s="196"/>
      <c r="D34" s="73"/>
    </row>
    <row r="35" spans="2:4" ht="17.25" customHeight="1">
      <c r="B35" s="197" t="s">
        <v>131</v>
      </c>
      <c r="C35" s="197"/>
      <c r="D35" s="197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S2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125" style="163" bestFit="1" customWidth="1"/>
    <col min="2" max="2" width="10.75390625" style="163" customWidth="1"/>
    <col min="3" max="3" width="12.625" style="163" bestFit="1" customWidth="1"/>
    <col min="4" max="4" width="9.875" style="163" bestFit="1" customWidth="1"/>
    <col min="5" max="6" width="12.625" style="163" bestFit="1" customWidth="1"/>
    <col min="7" max="7" width="9.875" style="163" bestFit="1" customWidth="1"/>
    <col min="8" max="8" width="12.625" style="163" bestFit="1" customWidth="1"/>
    <col min="9" max="9" width="11.625" style="163" customWidth="1"/>
    <col min="10" max="10" width="7.125" style="163" bestFit="1" customWidth="1"/>
    <col min="11" max="11" width="9.00390625" style="163" customWidth="1"/>
    <col min="12" max="12" width="11.875" style="163" bestFit="1" customWidth="1"/>
    <col min="13" max="13" width="12.625" style="163" bestFit="1" customWidth="1"/>
    <col min="14" max="14" width="9.875" style="163" bestFit="1" customWidth="1"/>
    <col min="15" max="15" width="11.375" style="163" bestFit="1" customWidth="1"/>
    <col min="16" max="16" width="11.00390625" style="163" bestFit="1" customWidth="1"/>
    <col min="17" max="17" width="8.50390625" style="163" bestFit="1" customWidth="1"/>
    <col min="18" max="18" width="12.625" style="163" bestFit="1" customWidth="1"/>
    <col min="19" max="19" width="12.875" style="163" customWidth="1"/>
    <col min="20" max="16384" width="9.00390625" style="163" customWidth="1"/>
  </cols>
  <sheetData>
    <row r="1" spans="1:19" ht="109.5" customHeight="1" thickBot="1">
      <c r="A1" s="279" t="s">
        <v>253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ht="15.75" customHeight="1">
      <c r="A2" s="280" t="s">
        <v>163</v>
      </c>
      <c r="B2" s="282" t="s">
        <v>164</v>
      </c>
      <c r="C2" s="282" t="s">
        <v>165</v>
      </c>
      <c r="D2" s="282"/>
      <c r="E2" s="282"/>
      <c r="F2" s="282"/>
      <c r="G2" s="282"/>
      <c r="H2" s="282"/>
      <c r="I2" s="282"/>
      <c r="J2" s="283" t="s">
        <v>166</v>
      </c>
      <c r="K2" s="283"/>
      <c r="L2" s="283"/>
      <c r="M2" s="284" t="s">
        <v>167</v>
      </c>
      <c r="N2" s="282" t="s">
        <v>168</v>
      </c>
      <c r="O2" s="282"/>
      <c r="P2" s="282"/>
      <c r="Q2" s="282"/>
      <c r="R2" s="282"/>
      <c r="S2" s="287" t="s">
        <v>248</v>
      </c>
    </row>
    <row r="3" spans="1:19" ht="15.75">
      <c r="A3" s="281"/>
      <c r="B3" s="275"/>
      <c r="C3" s="289" t="s">
        <v>169</v>
      </c>
      <c r="D3" s="290"/>
      <c r="E3" s="291"/>
      <c r="F3" s="289" t="s">
        <v>170</v>
      </c>
      <c r="G3" s="290"/>
      <c r="H3" s="291"/>
      <c r="I3" s="276" t="s">
        <v>171</v>
      </c>
      <c r="J3" s="277" t="s">
        <v>172</v>
      </c>
      <c r="K3" s="292" t="s">
        <v>173</v>
      </c>
      <c r="L3" s="277" t="s">
        <v>174</v>
      </c>
      <c r="M3" s="285"/>
      <c r="N3" s="276" t="s">
        <v>175</v>
      </c>
      <c r="O3" s="275" t="s">
        <v>176</v>
      </c>
      <c r="P3" s="275" t="s">
        <v>177</v>
      </c>
      <c r="Q3" s="275" t="s">
        <v>178</v>
      </c>
      <c r="R3" s="275" t="s">
        <v>179</v>
      </c>
      <c r="S3" s="288"/>
    </row>
    <row r="4" spans="1:19" ht="47.25" customHeight="1">
      <c r="A4" s="281"/>
      <c r="B4" s="275"/>
      <c r="C4" s="166" t="s">
        <v>180</v>
      </c>
      <c r="D4" s="165" t="s">
        <v>178</v>
      </c>
      <c r="E4" s="165" t="s">
        <v>179</v>
      </c>
      <c r="F4" s="166" t="s">
        <v>180</v>
      </c>
      <c r="G4" s="165" t="s">
        <v>178</v>
      </c>
      <c r="H4" s="165" t="s">
        <v>179</v>
      </c>
      <c r="I4" s="276"/>
      <c r="J4" s="278"/>
      <c r="K4" s="286"/>
      <c r="L4" s="278"/>
      <c r="M4" s="286"/>
      <c r="N4" s="275"/>
      <c r="O4" s="275"/>
      <c r="P4" s="275"/>
      <c r="Q4" s="275"/>
      <c r="R4" s="275"/>
      <c r="S4" s="288"/>
    </row>
    <row r="5" spans="1:19" ht="31.5">
      <c r="A5" s="164">
        <v>1</v>
      </c>
      <c r="B5" s="165">
        <v>2</v>
      </c>
      <c r="C5" s="166">
        <v>3</v>
      </c>
      <c r="D5" s="165">
        <v>4</v>
      </c>
      <c r="E5" s="165" t="s">
        <v>181</v>
      </c>
      <c r="F5" s="166">
        <v>6</v>
      </c>
      <c r="G5" s="165">
        <v>7</v>
      </c>
      <c r="H5" s="165" t="s">
        <v>182</v>
      </c>
      <c r="I5" s="166" t="s">
        <v>183</v>
      </c>
      <c r="J5" s="165">
        <v>10</v>
      </c>
      <c r="K5" s="165">
        <v>11</v>
      </c>
      <c r="L5" s="166">
        <v>12</v>
      </c>
      <c r="M5" s="166" t="s">
        <v>184</v>
      </c>
      <c r="N5" s="165">
        <v>14</v>
      </c>
      <c r="O5" s="166">
        <v>15</v>
      </c>
      <c r="P5" s="165">
        <v>16</v>
      </c>
      <c r="Q5" s="165">
        <v>17</v>
      </c>
      <c r="R5" s="166" t="s">
        <v>185</v>
      </c>
      <c r="S5" s="167" t="s">
        <v>186</v>
      </c>
    </row>
    <row r="6" spans="1:19" ht="15.75">
      <c r="A6" s="168">
        <v>-429386.77</v>
      </c>
      <c r="B6" s="169" t="s">
        <v>254</v>
      </c>
      <c r="C6" s="170">
        <v>118840.6</v>
      </c>
      <c r="D6" s="170">
        <v>6892.48</v>
      </c>
      <c r="E6" s="170">
        <f>C6+D6</f>
        <v>125733.08</v>
      </c>
      <c r="F6" s="170">
        <f>'отчет 12г(09-12)'!H10</f>
        <v>130842.62</v>
      </c>
      <c r="G6" s="170">
        <f>'отчет 12г(09-12)'!H11</f>
        <v>7426.92</v>
      </c>
      <c r="H6" s="170">
        <f>SUM(F6:G6)</f>
        <v>138269.54</v>
      </c>
      <c r="I6" s="171">
        <f>E6-H6</f>
        <v>-12536.460000000006</v>
      </c>
      <c r="J6" s="170">
        <v>0</v>
      </c>
      <c r="K6" s="170">
        <v>0</v>
      </c>
      <c r="L6" s="170">
        <v>0</v>
      </c>
      <c r="M6" s="170">
        <f>H6+J6+K6+L6</f>
        <v>138269.54</v>
      </c>
      <c r="N6" s="170">
        <f>'отчет 12г(09-12)'!J29</f>
        <v>12199.8</v>
      </c>
      <c r="O6" s="170">
        <f>'отчет 12г(09-12)'!J31-'отчет 12г(09-12)'!J29</f>
        <v>92404.95</v>
      </c>
      <c r="P6" s="170">
        <f>'отчет 12г(09-12)'!H35</f>
        <v>110740.2</v>
      </c>
      <c r="Q6" s="171">
        <f>'отчет 12г(09-12)'!H37</f>
        <v>0</v>
      </c>
      <c r="R6" s="170">
        <f>SUM(N6:Q6)</f>
        <v>215344.95</v>
      </c>
      <c r="S6" s="172">
        <f>M6-R6</f>
        <v>-77075.41</v>
      </c>
    </row>
    <row r="7" spans="1:19" ht="15.75">
      <c r="A7" s="168"/>
      <c r="B7" s="169"/>
      <c r="C7" s="170"/>
      <c r="D7" s="170"/>
      <c r="E7" s="170">
        <f>SUM(C7:D7)</f>
        <v>0</v>
      </c>
      <c r="F7" s="170"/>
      <c r="G7" s="170"/>
      <c r="H7" s="170">
        <f>SUM(F7:G7)</f>
        <v>0</v>
      </c>
      <c r="I7" s="171">
        <f>E7-H7</f>
        <v>0</v>
      </c>
      <c r="J7" s="170">
        <v>0</v>
      </c>
      <c r="K7" s="170">
        <v>0</v>
      </c>
      <c r="L7" s="170">
        <v>0</v>
      </c>
      <c r="M7" s="170">
        <f>H7+J7+K7+L7</f>
        <v>0</v>
      </c>
      <c r="N7" s="170"/>
      <c r="O7" s="170"/>
      <c r="P7" s="170"/>
      <c r="Q7" s="171">
        <v>0</v>
      </c>
      <c r="R7" s="170">
        <f>SUM(N7:Q7)</f>
        <v>0</v>
      </c>
      <c r="S7" s="172">
        <f>M7-R7</f>
        <v>0</v>
      </c>
    </row>
    <row r="8" spans="1:19" ht="15.75">
      <c r="A8" s="168"/>
      <c r="B8" s="169"/>
      <c r="C8" s="170"/>
      <c r="D8" s="170"/>
      <c r="E8" s="170">
        <f>SUM(C8:D8)</f>
        <v>0</v>
      </c>
      <c r="F8" s="170"/>
      <c r="G8" s="170"/>
      <c r="H8" s="170">
        <f>SUM(F8:G8)</f>
        <v>0</v>
      </c>
      <c r="I8" s="171">
        <f>E8-H8</f>
        <v>0</v>
      </c>
      <c r="J8" s="170">
        <v>0</v>
      </c>
      <c r="K8" s="170">
        <v>0</v>
      </c>
      <c r="L8" s="170">
        <v>0</v>
      </c>
      <c r="M8" s="170">
        <f>H8+J8+K8+L8</f>
        <v>0</v>
      </c>
      <c r="N8" s="170"/>
      <c r="O8" s="170"/>
      <c r="P8" s="170"/>
      <c r="Q8" s="171">
        <v>0</v>
      </c>
      <c r="R8" s="170">
        <f>SUM(N8:Q8)</f>
        <v>0</v>
      </c>
      <c r="S8" s="172">
        <f>M8-R8</f>
        <v>0</v>
      </c>
    </row>
    <row r="9" spans="1:19" ht="15.75">
      <c r="A9" s="168"/>
      <c r="B9" s="169"/>
      <c r="C9" s="170"/>
      <c r="D9" s="170"/>
      <c r="E9" s="170">
        <f>SUM(C9:D9)</f>
        <v>0</v>
      </c>
      <c r="F9" s="170"/>
      <c r="G9" s="170"/>
      <c r="H9" s="170">
        <f>SUM(F9:G9)</f>
        <v>0</v>
      </c>
      <c r="I9" s="171">
        <f>E9-H9</f>
        <v>0</v>
      </c>
      <c r="J9" s="170">
        <f>'[1]отчет 2011'!I12</f>
        <v>0</v>
      </c>
      <c r="K9" s="170">
        <f>'[1]отчет 2011'!I13</f>
        <v>0</v>
      </c>
      <c r="L9" s="170">
        <f>'[1]отчет 2011'!H13</f>
        <v>0</v>
      </c>
      <c r="M9" s="170">
        <f>H9+J9+K9+L9</f>
        <v>0</v>
      </c>
      <c r="N9" s="170"/>
      <c r="O9" s="170"/>
      <c r="P9" s="170"/>
      <c r="Q9" s="171">
        <v>0</v>
      </c>
      <c r="R9" s="170">
        <f>SUM(N9:Q9)</f>
        <v>0</v>
      </c>
      <c r="S9" s="172">
        <f>M9-R9</f>
        <v>0</v>
      </c>
    </row>
    <row r="10" spans="1:19" ht="15.75">
      <c r="A10" s="168"/>
      <c r="B10" s="169"/>
      <c r="C10" s="170"/>
      <c r="D10" s="170"/>
      <c r="E10" s="170">
        <f>SUM(C10:D10)</f>
        <v>0</v>
      </c>
      <c r="F10" s="170"/>
      <c r="G10" s="170"/>
      <c r="H10" s="170">
        <f>SUM(F10:G10)</f>
        <v>0</v>
      </c>
      <c r="I10" s="171">
        <f>E10-H10</f>
        <v>0</v>
      </c>
      <c r="J10" s="170">
        <v>0</v>
      </c>
      <c r="K10" s="170">
        <v>0</v>
      </c>
      <c r="L10" s="170">
        <v>0</v>
      </c>
      <c r="M10" s="170">
        <f>H10+J10+K10+L10</f>
        <v>0</v>
      </c>
      <c r="N10" s="170"/>
      <c r="O10" s="170"/>
      <c r="P10" s="170"/>
      <c r="Q10" s="171">
        <v>0</v>
      </c>
      <c r="R10" s="170">
        <f>SUM(N10:Q10)</f>
        <v>0</v>
      </c>
      <c r="S10" s="172">
        <f>M10-R10</f>
        <v>0</v>
      </c>
    </row>
    <row r="11" spans="1:19" ht="16.5" thickBot="1">
      <c r="A11" s="173"/>
      <c r="B11" s="174" t="s">
        <v>187</v>
      </c>
      <c r="C11" s="175">
        <f aca="true" t="shared" si="0" ref="C11:R11">SUM(C6:C10)</f>
        <v>118840.6</v>
      </c>
      <c r="D11" s="175">
        <f t="shared" si="0"/>
        <v>6892.48</v>
      </c>
      <c r="E11" s="175">
        <f t="shared" si="0"/>
        <v>125733.08</v>
      </c>
      <c r="F11" s="175">
        <f t="shared" si="0"/>
        <v>130842.62</v>
      </c>
      <c r="G11" s="175">
        <f t="shared" si="0"/>
        <v>7426.92</v>
      </c>
      <c r="H11" s="175">
        <f t="shared" si="0"/>
        <v>138269.54</v>
      </c>
      <c r="I11" s="175">
        <f t="shared" si="0"/>
        <v>-12536.460000000006</v>
      </c>
      <c r="J11" s="175">
        <f t="shared" si="0"/>
        <v>0</v>
      </c>
      <c r="K11" s="175">
        <f t="shared" si="0"/>
        <v>0</v>
      </c>
      <c r="L11" s="175">
        <f t="shared" si="0"/>
        <v>0</v>
      </c>
      <c r="M11" s="175">
        <f t="shared" si="0"/>
        <v>138269.54</v>
      </c>
      <c r="N11" s="175">
        <f t="shared" si="0"/>
        <v>12199.8</v>
      </c>
      <c r="O11" s="175">
        <f t="shared" si="0"/>
        <v>92404.95</v>
      </c>
      <c r="P11" s="175">
        <f t="shared" si="0"/>
        <v>110740.2</v>
      </c>
      <c r="Q11" s="175">
        <f t="shared" si="0"/>
        <v>0</v>
      </c>
      <c r="R11" s="175">
        <f t="shared" si="0"/>
        <v>215344.95</v>
      </c>
      <c r="S11" s="176">
        <f>A6+SUM(S6:S10)</f>
        <v>-506462.18000000005</v>
      </c>
    </row>
    <row r="14" spans="15:19" ht="16.5">
      <c r="O14" s="177"/>
      <c r="P14" s="177"/>
      <c r="Q14" s="177"/>
      <c r="R14" s="177"/>
      <c r="S14" s="178"/>
    </row>
    <row r="15" spans="15:19" ht="16.5">
      <c r="O15" s="177"/>
      <c r="P15" s="177"/>
      <c r="Q15" s="177"/>
      <c r="R15" s="177"/>
      <c r="S15" s="177"/>
    </row>
    <row r="16" spans="2:9" s="179" customFormat="1" ht="18.75">
      <c r="B16" s="274" t="s">
        <v>249</v>
      </c>
      <c r="C16" s="274"/>
      <c r="D16" s="274"/>
      <c r="E16" s="274"/>
      <c r="F16" s="274" t="s">
        <v>250</v>
      </c>
      <c r="G16" s="274"/>
      <c r="H16" s="274"/>
      <c r="I16" s="274"/>
    </row>
    <row r="17" s="179" customFormat="1" ht="18.75"/>
    <row r="19" spans="2:8" ht="29.25" customHeight="1">
      <c r="B19" s="180" t="s">
        <v>251</v>
      </c>
      <c r="F19" s="274" t="s">
        <v>252</v>
      </c>
      <c r="G19" s="274"/>
      <c r="H19" s="274"/>
    </row>
    <row r="21" ht="15.75">
      <c r="A21" s="163" t="s">
        <v>245</v>
      </c>
    </row>
  </sheetData>
  <sheetProtection/>
  <mergeCells count="22"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.31496062992125984" right="0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46"/>
  <sheetViews>
    <sheetView zoomScalePageLayoutView="0" workbookViewId="0" topLeftCell="A25">
      <selection activeCell="A45" sqref="A45:IV45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92" t="s">
        <v>188</v>
      </c>
      <c r="B1" s="192"/>
      <c r="C1" s="192"/>
      <c r="D1" s="192"/>
      <c r="E1" s="192"/>
      <c r="F1" s="192"/>
      <c r="G1" s="192"/>
      <c r="H1" s="192"/>
    </row>
    <row r="2" spans="1:8" ht="63" customHeight="1">
      <c r="A2" s="201" t="s">
        <v>85</v>
      </c>
      <c r="B2" s="201"/>
      <c r="C2" s="201"/>
      <c r="D2" s="201"/>
      <c r="E2" s="201"/>
      <c r="F2" s="201"/>
      <c r="G2" s="201"/>
      <c r="H2" s="201"/>
    </row>
    <row r="3" spans="1:6" ht="18.75">
      <c r="A3" s="1" t="s">
        <v>82</v>
      </c>
      <c r="B3" s="1" t="s">
        <v>86</v>
      </c>
      <c r="C3" s="2"/>
      <c r="D3" s="2" t="s">
        <v>0</v>
      </c>
      <c r="E3" s="26">
        <v>2729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207"/>
      <c r="C7" s="207"/>
      <c r="D7" s="207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08" t="s">
        <v>65</v>
      </c>
      <c r="C8" s="209"/>
      <c r="D8" s="209"/>
      <c r="E8" s="209"/>
      <c r="F8" s="210"/>
      <c r="G8" s="15"/>
      <c r="H8" s="16"/>
    </row>
    <row r="9" spans="1:8" ht="15.75">
      <c r="A9" s="22"/>
      <c r="B9" s="204" t="s">
        <v>66</v>
      </c>
      <c r="C9" s="204"/>
      <c r="D9" s="204"/>
      <c r="E9" s="204"/>
      <c r="F9" s="204"/>
      <c r="G9" s="15"/>
      <c r="H9" s="30">
        <v>40552.8</v>
      </c>
    </row>
    <row r="10" spans="1:8" ht="15.75">
      <c r="A10" s="22">
        <v>1</v>
      </c>
      <c r="B10" s="203" t="s">
        <v>63</v>
      </c>
      <c r="C10" s="203"/>
      <c r="D10" s="203"/>
      <c r="E10" s="203"/>
      <c r="F10" s="203"/>
      <c r="G10" s="15"/>
      <c r="H10" s="34">
        <v>285392.38</v>
      </c>
    </row>
    <row r="11" spans="1:8" ht="15.75">
      <c r="A11" s="22"/>
      <c r="B11" s="203" t="s">
        <v>67</v>
      </c>
      <c r="C11" s="203"/>
      <c r="D11" s="203"/>
      <c r="E11" s="203"/>
      <c r="F11" s="203"/>
      <c r="G11" s="15"/>
      <c r="H11" s="40">
        <f>H10*0.9</f>
        <v>256853.14200000002</v>
      </c>
    </row>
    <row r="12" spans="1:8" ht="15.75" customHeight="1">
      <c r="A12" s="22"/>
      <c r="B12" s="203" t="s">
        <v>68</v>
      </c>
      <c r="C12" s="203"/>
      <c r="D12" s="203"/>
      <c r="E12" s="203"/>
      <c r="F12" s="203"/>
      <c r="G12" s="15"/>
      <c r="H12" s="40">
        <f>H10-H11</f>
        <v>28539.237999999983</v>
      </c>
    </row>
    <row r="13" spans="1:8" ht="15.75" customHeight="1">
      <c r="A13" s="22">
        <v>2</v>
      </c>
      <c r="B13" s="203" t="s">
        <v>64</v>
      </c>
      <c r="C13" s="203"/>
      <c r="D13" s="203"/>
      <c r="E13" s="203"/>
      <c r="F13" s="203"/>
      <c r="G13" s="15"/>
      <c r="H13" s="34">
        <v>258707.57</v>
      </c>
    </row>
    <row r="14" spans="1:8" ht="15.75" customHeight="1">
      <c r="A14" s="22">
        <v>3</v>
      </c>
      <c r="B14" s="203" t="s">
        <v>69</v>
      </c>
      <c r="C14" s="203"/>
      <c r="D14" s="203"/>
      <c r="E14" s="203"/>
      <c r="F14" s="203"/>
      <c r="G14" s="15"/>
      <c r="H14" s="40">
        <f>H10-H13</f>
        <v>26684.809999999998</v>
      </c>
    </row>
    <row r="15" spans="1:8" ht="15.75" customHeight="1">
      <c r="A15" s="22">
        <v>4</v>
      </c>
      <c r="B15" s="204" t="s">
        <v>70</v>
      </c>
      <c r="C15" s="204"/>
      <c r="D15" s="204"/>
      <c r="E15" s="204"/>
      <c r="F15" s="204"/>
      <c r="G15" s="15"/>
      <c r="H15" s="41">
        <f>H9+H10-H13</f>
        <v>67237.60999999999</v>
      </c>
    </row>
    <row r="16" spans="1:8" ht="18.75">
      <c r="A16" s="22">
        <v>5</v>
      </c>
      <c r="B16" s="205" t="s">
        <v>74</v>
      </c>
      <c r="C16" s="205"/>
      <c r="D16" s="205"/>
      <c r="E16" s="205"/>
      <c r="F16" s="205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206" t="s">
        <v>18</v>
      </c>
      <c r="C18" s="206"/>
      <c r="D18" s="206"/>
      <c r="E18" s="6" t="s">
        <v>32</v>
      </c>
      <c r="F18" s="6" t="s">
        <v>24</v>
      </c>
      <c r="G18" s="12">
        <v>0.9</v>
      </c>
      <c r="H18" s="44">
        <f>ROUND(G18*$E$3*12,2)</f>
        <v>29473.2</v>
      </c>
    </row>
    <row r="19" spans="1:8" ht="15.75">
      <c r="A19" s="29" t="s">
        <v>42</v>
      </c>
      <c r="B19" s="206" t="s">
        <v>17</v>
      </c>
      <c r="C19" s="206"/>
      <c r="D19" s="206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8514.48</v>
      </c>
    </row>
    <row r="20" spans="1:8" ht="15.75">
      <c r="A20" s="28" t="s">
        <v>43</v>
      </c>
      <c r="B20" s="202" t="s">
        <v>23</v>
      </c>
      <c r="C20" s="202"/>
      <c r="D20" s="202"/>
      <c r="E20" s="7" t="s">
        <v>8</v>
      </c>
      <c r="F20" s="7" t="s">
        <v>20</v>
      </c>
      <c r="G20" s="12">
        <v>0.32</v>
      </c>
      <c r="H20" s="44">
        <f t="shared" si="0"/>
        <v>10479.36</v>
      </c>
    </row>
    <row r="21" spans="1:8" ht="33" customHeight="1">
      <c r="A21" s="29" t="s">
        <v>44</v>
      </c>
      <c r="B21" s="211" t="s">
        <v>31</v>
      </c>
      <c r="C21" s="211"/>
      <c r="D21" s="211"/>
      <c r="E21" s="8" t="s">
        <v>9</v>
      </c>
      <c r="F21" s="8" t="s">
        <v>10</v>
      </c>
      <c r="G21" s="12">
        <v>0.46</v>
      </c>
      <c r="H21" s="44">
        <f t="shared" si="0"/>
        <v>15064.08</v>
      </c>
    </row>
    <row r="22" spans="1:8" ht="63">
      <c r="A22" s="28" t="s">
        <v>47</v>
      </c>
      <c r="B22" s="202" t="s">
        <v>27</v>
      </c>
      <c r="C22" s="202"/>
      <c r="D22" s="202"/>
      <c r="E22" s="7" t="s">
        <v>34</v>
      </c>
      <c r="F22" s="7" t="s">
        <v>25</v>
      </c>
      <c r="G22" s="12">
        <v>0.11</v>
      </c>
      <c r="H22" s="44">
        <f t="shared" si="0"/>
        <v>3602.28</v>
      </c>
    </row>
    <row r="23" spans="1:8" ht="31.5">
      <c r="A23" s="29" t="s">
        <v>45</v>
      </c>
      <c r="B23" s="202" t="s">
        <v>11</v>
      </c>
      <c r="C23" s="202"/>
      <c r="D23" s="202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202" t="s">
        <v>26</v>
      </c>
      <c r="C24" s="215"/>
      <c r="D24" s="215"/>
      <c r="E24" s="9" t="s">
        <v>13</v>
      </c>
      <c r="F24" s="9" t="s">
        <v>14</v>
      </c>
      <c r="G24" s="12">
        <v>0.04</v>
      </c>
      <c r="H24" s="44">
        <f t="shared" si="0"/>
        <v>1309.92</v>
      </c>
    </row>
    <row r="25" spans="1:8" ht="36.75" customHeight="1">
      <c r="A25" s="29" t="s">
        <v>48</v>
      </c>
      <c r="B25" s="212" t="s">
        <v>77</v>
      </c>
      <c r="C25" s="213"/>
      <c r="D25" s="214"/>
      <c r="E25" s="9" t="s">
        <v>13</v>
      </c>
      <c r="F25" s="38" t="s">
        <v>81</v>
      </c>
      <c r="G25" s="12">
        <v>0.22</v>
      </c>
      <c r="H25" s="44">
        <f t="shared" si="0"/>
        <v>7204.56</v>
      </c>
    </row>
    <row r="26" spans="1:8" ht="31.5">
      <c r="A26" s="28" t="s">
        <v>49</v>
      </c>
      <c r="B26" s="202" t="s">
        <v>35</v>
      </c>
      <c r="C26" s="202"/>
      <c r="D26" s="202"/>
      <c r="E26" s="6" t="s">
        <v>36</v>
      </c>
      <c r="F26" s="39" t="s">
        <v>81</v>
      </c>
      <c r="G26" s="12">
        <v>2.5</v>
      </c>
      <c r="H26" s="44">
        <f t="shared" si="0"/>
        <v>81870</v>
      </c>
    </row>
    <row r="27" spans="1:8" ht="31.5">
      <c r="A27" s="29" t="s">
        <v>50</v>
      </c>
      <c r="B27" s="206" t="s">
        <v>15</v>
      </c>
      <c r="C27" s="206"/>
      <c r="D27" s="206"/>
      <c r="E27" s="6" t="s">
        <v>36</v>
      </c>
      <c r="F27" s="39" t="s">
        <v>81</v>
      </c>
      <c r="G27" s="12">
        <v>0.38</v>
      </c>
      <c r="H27" s="44">
        <f t="shared" si="0"/>
        <v>12444.24</v>
      </c>
    </row>
    <row r="28" spans="1:8" ht="31.5">
      <c r="A28" s="28" t="s">
        <v>51</v>
      </c>
      <c r="B28" s="221" t="s">
        <v>37</v>
      </c>
      <c r="C28" s="189"/>
      <c r="D28" s="189"/>
      <c r="E28" s="6" t="s">
        <v>36</v>
      </c>
      <c r="F28" s="39" t="s">
        <v>81</v>
      </c>
      <c r="G28" s="36">
        <f>1.82-G29-G30</f>
        <v>1.57</v>
      </c>
      <c r="H28" s="44">
        <f t="shared" si="0"/>
        <v>51414.36</v>
      </c>
    </row>
    <row r="29" spans="1:8" ht="31.5">
      <c r="A29" s="29" t="s">
        <v>52</v>
      </c>
      <c r="B29" s="202" t="s">
        <v>28</v>
      </c>
      <c r="C29" s="202"/>
      <c r="D29" s="202"/>
      <c r="E29" s="6" t="s">
        <v>36</v>
      </c>
      <c r="F29" s="39" t="s">
        <v>81</v>
      </c>
      <c r="G29" s="13">
        <v>0.25</v>
      </c>
      <c r="H29" s="44">
        <f t="shared" si="0"/>
        <v>8187</v>
      </c>
    </row>
    <row r="30" spans="1:8" ht="31.5">
      <c r="A30" s="28" t="s">
        <v>53</v>
      </c>
      <c r="B30" s="202" t="s">
        <v>29</v>
      </c>
      <c r="C30" s="202"/>
      <c r="D30" s="202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215" t="s">
        <v>21</v>
      </c>
      <c r="C31" s="215"/>
      <c r="D31" s="215"/>
      <c r="E31" s="6" t="s">
        <v>36</v>
      </c>
      <c r="F31" s="39" t="s">
        <v>81</v>
      </c>
      <c r="G31" s="9">
        <v>0.88</v>
      </c>
      <c r="H31" s="44">
        <f t="shared" si="0"/>
        <v>28818.24</v>
      </c>
    </row>
    <row r="32" spans="1:8" ht="15.75">
      <c r="A32" s="22" t="s">
        <v>55</v>
      </c>
      <c r="B32" s="220" t="s">
        <v>30</v>
      </c>
      <c r="C32" s="220"/>
      <c r="D32" s="220"/>
      <c r="E32" s="14"/>
      <c r="F32" s="39"/>
      <c r="G32" s="20">
        <f>SUM(G18:G31)</f>
        <v>7.890000000000001</v>
      </c>
      <c r="H32" s="45">
        <f>SUM(H18:H31)</f>
        <v>258381.71999999997</v>
      </c>
    </row>
    <row r="33" spans="1:8" ht="15.75">
      <c r="A33" s="22" t="s">
        <v>56</v>
      </c>
      <c r="B33" s="204" t="s">
        <v>38</v>
      </c>
      <c r="C33" s="215"/>
      <c r="D33" s="215"/>
      <c r="E33" s="14"/>
      <c r="F33" s="39" t="s">
        <v>81</v>
      </c>
      <c r="G33" s="23">
        <f>H33/E3/12</f>
        <v>9.061316721631856</v>
      </c>
      <c r="H33" s="24">
        <v>296740</v>
      </c>
    </row>
    <row r="34" spans="1:8" ht="18.75">
      <c r="A34" s="25" t="s">
        <v>57</v>
      </c>
      <c r="B34" s="216" t="s">
        <v>76</v>
      </c>
      <c r="C34" s="216"/>
      <c r="D34" s="216"/>
      <c r="E34" s="216"/>
      <c r="F34" s="216"/>
      <c r="G34" s="20">
        <f>SUM(G32:G33)</f>
        <v>16.951316721631855</v>
      </c>
      <c r="H34" s="46">
        <f>SUM(H32:H33)</f>
        <v>555121.72</v>
      </c>
    </row>
    <row r="35" spans="1:8" ht="18.75">
      <c r="A35" s="22" t="s">
        <v>62</v>
      </c>
      <c r="B35" s="217" t="s">
        <v>39</v>
      </c>
      <c r="C35" s="218"/>
      <c r="D35" s="218"/>
      <c r="E35" s="218"/>
      <c r="F35" s="218"/>
      <c r="G35" s="219"/>
      <c r="H35" s="31"/>
    </row>
    <row r="36" spans="1:8" ht="15.75" customHeight="1">
      <c r="A36" s="22" t="s">
        <v>58</v>
      </c>
      <c r="B36" s="198" t="s">
        <v>71</v>
      </c>
      <c r="C36" s="199"/>
      <c r="D36" s="199"/>
      <c r="E36" s="199"/>
      <c r="F36" s="199"/>
      <c r="G36" s="200"/>
      <c r="H36" s="32">
        <v>-114241.35</v>
      </c>
    </row>
    <row r="37" spans="1:8" ht="15.75" customHeight="1">
      <c r="A37" s="22" t="s">
        <v>59</v>
      </c>
      <c r="B37" s="198" t="s">
        <v>72</v>
      </c>
      <c r="C37" s="199"/>
      <c r="D37" s="199"/>
      <c r="E37" s="199"/>
      <c r="F37" s="199"/>
      <c r="G37" s="200"/>
      <c r="H37" s="47">
        <f>H13-H34</f>
        <v>-296414.14999999997</v>
      </c>
    </row>
    <row r="38" spans="1:8" ht="15.75" customHeight="1">
      <c r="A38" s="22" t="s">
        <v>60</v>
      </c>
      <c r="B38" s="198" t="s">
        <v>73</v>
      </c>
      <c r="C38" s="199"/>
      <c r="D38" s="199"/>
      <c r="E38" s="199"/>
      <c r="F38" s="199"/>
      <c r="G38" s="200"/>
      <c r="H38" s="47">
        <f>H36+H37</f>
        <v>-410655.5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33" t="s">
        <v>84</v>
      </c>
      <c r="C45" s="48"/>
      <c r="D45" s="48"/>
      <c r="E45" s="48"/>
      <c r="F45" s="48"/>
    </row>
    <row r="46" spans="2:4" ht="15.75" customHeight="1">
      <c r="B46" s="197" t="s">
        <v>87</v>
      </c>
      <c r="C46" s="197"/>
      <c r="D46" s="197"/>
    </row>
  </sheetData>
  <sheetProtection/>
  <mergeCells count="34"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  <mergeCell ref="B20:D20"/>
    <mergeCell ref="B27:D27"/>
    <mergeCell ref="B21:D21"/>
    <mergeCell ref="B22:D22"/>
    <mergeCell ref="B23:D23"/>
    <mergeCell ref="B25:D25"/>
    <mergeCell ref="B26:D26"/>
    <mergeCell ref="B19:D19"/>
    <mergeCell ref="B7:D7"/>
    <mergeCell ref="B12:F12"/>
    <mergeCell ref="B8:F8"/>
    <mergeCell ref="B9:F9"/>
    <mergeCell ref="B10:F10"/>
    <mergeCell ref="B11:F11"/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customWidth="1"/>
    <col min="7" max="7" width="9.37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92" t="s">
        <v>189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54" customHeight="1">
      <c r="A2" s="229" t="s">
        <v>190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8.75">
      <c r="A3" s="1" t="s">
        <v>82</v>
      </c>
      <c r="B3" s="1" t="s">
        <v>86</v>
      </c>
      <c r="C3" s="2"/>
      <c r="D3" s="2" t="s">
        <v>0</v>
      </c>
      <c r="E3" s="26">
        <v>2729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0" ht="39" customHeight="1">
      <c r="A7" s="21" t="s">
        <v>61</v>
      </c>
      <c r="B7" s="230" t="s">
        <v>138</v>
      </c>
      <c r="C7" s="231"/>
      <c r="D7" s="232"/>
      <c r="E7" s="11" t="s">
        <v>6</v>
      </c>
      <c r="F7" s="11" t="s">
        <v>7</v>
      </c>
      <c r="G7" s="86" t="s">
        <v>22</v>
      </c>
      <c r="H7" s="233" t="s">
        <v>139</v>
      </c>
      <c r="I7" s="234"/>
      <c r="J7" s="235"/>
    </row>
    <row r="8" spans="1:10" ht="15.75">
      <c r="A8" s="22">
        <v>1</v>
      </c>
      <c r="B8" s="208"/>
      <c r="C8" s="209"/>
      <c r="D8" s="209"/>
      <c r="E8" s="209"/>
      <c r="F8" s="210"/>
      <c r="G8" s="87"/>
      <c r="H8" s="88" t="s">
        <v>140</v>
      </c>
      <c r="I8" s="89" t="s">
        <v>141</v>
      </c>
      <c r="J8" s="89" t="s">
        <v>142</v>
      </c>
    </row>
    <row r="9" spans="1:10" ht="15.75">
      <c r="A9" s="22"/>
      <c r="B9" s="208" t="s">
        <v>143</v>
      </c>
      <c r="C9" s="209"/>
      <c r="D9" s="209"/>
      <c r="E9" s="209"/>
      <c r="F9" s="210"/>
      <c r="G9" s="90"/>
      <c r="H9" s="90"/>
      <c r="I9" s="57"/>
      <c r="J9" s="89"/>
    </row>
    <row r="10" spans="1:10" ht="15.75">
      <c r="A10" s="91"/>
      <c r="B10" s="203" t="s">
        <v>144</v>
      </c>
      <c r="C10" s="203"/>
      <c r="D10" s="203"/>
      <c r="E10" s="203"/>
      <c r="F10" s="203"/>
      <c r="G10" s="15"/>
      <c r="H10" s="92">
        <v>281986.86</v>
      </c>
      <c r="I10" s="77"/>
      <c r="J10" s="58">
        <f>H10+I10</f>
        <v>281986.86</v>
      </c>
    </row>
    <row r="11" spans="1:10" ht="15.75">
      <c r="A11" s="91"/>
      <c r="B11" s="203" t="s">
        <v>145</v>
      </c>
      <c r="C11" s="203"/>
      <c r="D11" s="203"/>
      <c r="E11" s="203"/>
      <c r="F11" s="203"/>
      <c r="G11" s="15"/>
      <c r="H11" s="16">
        <v>16231.2</v>
      </c>
      <c r="I11" s="77"/>
      <c r="J11" s="58">
        <f>H11+I11</f>
        <v>16231.2</v>
      </c>
    </row>
    <row r="12" spans="1:10" ht="15.75">
      <c r="A12" s="22"/>
      <c r="B12" s="203" t="s">
        <v>146</v>
      </c>
      <c r="C12" s="203"/>
      <c r="D12" s="203"/>
      <c r="E12" s="203"/>
      <c r="F12" s="203"/>
      <c r="G12" s="15"/>
      <c r="H12" s="92"/>
      <c r="I12" s="77"/>
      <c r="J12" s="58">
        <f>H12+I12</f>
        <v>0</v>
      </c>
    </row>
    <row r="13" spans="1:10" ht="15.75">
      <c r="A13" s="22"/>
      <c r="B13" s="203" t="s">
        <v>147</v>
      </c>
      <c r="C13" s="203"/>
      <c r="D13" s="203"/>
      <c r="E13" s="203"/>
      <c r="F13" s="203"/>
      <c r="G13" s="15"/>
      <c r="H13" s="92"/>
      <c r="I13" s="93"/>
      <c r="J13" s="58">
        <f>H13+I13</f>
        <v>0</v>
      </c>
    </row>
    <row r="14" spans="1:10" ht="15.75">
      <c r="A14" s="22"/>
      <c r="B14" s="204" t="s">
        <v>148</v>
      </c>
      <c r="C14" s="204"/>
      <c r="D14" s="204"/>
      <c r="E14" s="204"/>
      <c r="F14" s="204"/>
      <c r="G14" s="15"/>
      <c r="H14" s="41">
        <f>SUM(H10:H12)</f>
        <v>298218.06</v>
      </c>
      <c r="I14" s="94">
        <f>SUM(I10:I12)</f>
        <v>0</v>
      </c>
      <c r="J14" s="95">
        <f>SUM(J10:J13)</f>
        <v>298218.06</v>
      </c>
    </row>
    <row r="15" spans="1:10" ht="18.75">
      <c r="A15" s="22">
        <v>2</v>
      </c>
      <c r="B15" s="205" t="s">
        <v>74</v>
      </c>
      <c r="C15" s="205"/>
      <c r="D15" s="205"/>
      <c r="E15" s="205"/>
      <c r="F15" s="205"/>
      <c r="G15" s="15"/>
      <c r="H15" s="92"/>
      <c r="I15" s="77"/>
      <c r="J15" s="49"/>
    </row>
    <row r="16" spans="1:10" ht="15.75">
      <c r="A16" s="22" t="s">
        <v>149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26" t="s">
        <v>135</v>
      </c>
      <c r="C17" s="226"/>
      <c r="D17" s="226"/>
      <c r="E17" s="97" t="s">
        <v>32</v>
      </c>
      <c r="F17" s="80" t="s">
        <v>24</v>
      </c>
      <c r="G17" s="81">
        <v>0.92</v>
      </c>
      <c r="H17" s="98">
        <f>ROUND(G17*$E$3*12,2)</f>
        <v>30128.16</v>
      </c>
      <c r="I17" s="99">
        <f>$I$12*0.08</f>
        <v>0</v>
      </c>
      <c r="J17" s="100">
        <f>SUM(H17:I17)</f>
        <v>30128.16</v>
      </c>
    </row>
    <row r="18" spans="1:10" ht="17.25" customHeight="1">
      <c r="A18" s="22"/>
      <c r="B18" s="227" t="s">
        <v>17</v>
      </c>
      <c r="C18" s="227"/>
      <c r="D18" s="227"/>
      <c r="E18" s="97" t="s">
        <v>32</v>
      </c>
      <c r="F18" s="80" t="s">
        <v>19</v>
      </c>
      <c r="G18" s="81">
        <v>0.26</v>
      </c>
      <c r="H18" s="98">
        <f>ROUND(G18*$E$3*12,2)</f>
        <v>8514.48</v>
      </c>
      <c r="I18" s="99">
        <f>$I$12*0.02</f>
        <v>0</v>
      </c>
      <c r="J18" s="100">
        <f aca="true" t="shared" si="0" ref="J18:J37">SUM(H18:I18)</f>
        <v>8514.48</v>
      </c>
    </row>
    <row r="19" spans="1:10" ht="20.25" customHeight="1">
      <c r="A19" s="22"/>
      <c r="B19" s="225" t="s">
        <v>23</v>
      </c>
      <c r="C19" s="225"/>
      <c r="D19" s="225"/>
      <c r="E19" s="101" t="s">
        <v>150</v>
      </c>
      <c r="F19" s="82" t="s">
        <v>20</v>
      </c>
      <c r="G19" s="81">
        <v>0.35</v>
      </c>
      <c r="H19" s="98">
        <f>J19-I19</f>
        <v>12751.13</v>
      </c>
      <c r="I19" s="99">
        <f>$I$12*0.07</f>
        <v>0</v>
      </c>
      <c r="J19" s="102">
        <v>12751.13</v>
      </c>
    </row>
    <row r="20" spans="1:10" ht="20.25" customHeight="1">
      <c r="A20" s="96"/>
      <c r="B20" s="226" t="s">
        <v>31</v>
      </c>
      <c r="C20" s="226"/>
      <c r="D20" s="226"/>
      <c r="E20" s="103" t="s">
        <v>9</v>
      </c>
      <c r="F20" s="83" t="s">
        <v>10</v>
      </c>
      <c r="G20" s="81">
        <v>0.46</v>
      </c>
      <c r="H20" s="98">
        <f>ROUND(G20*$E$3*12,2)</f>
        <v>15064.08</v>
      </c>
      <c r="I20" s="99">
        <f>$I$12*0.04</f>
        <v>0</v>
      </c>
      <c r="J20" s="100">
        <f t="shared" si="0"/>
        <v>15064.08</v>
      </c>
    </row>
    <row r="21" spans="1:10" ht="60.75" customHeight="1">
      <c r="A21" s="22"/>
      <c r="B21" s="225" t="s">
        <v>27</v>
      </c>
      <c r="C21" s="225"/>
      <c r="D21" s="225"/>
      <c r="E21" s="101" t="s">
        <v>151</v>
      </c>
      <c r="F21" s="82" t="s">
        <v>25</v>
      </c>
      <c r="G21" s="81">
        <v>0.11</v>
      </c>
      <c r="H21" s="98">
        <f>J21-I21</f>
        <v>2448.17</v>
      </c>
      <c r="I21" s="99">
        <f>$I$12*0.01</f>
        <v>0</v>
      </c>
      <c r="J21" s="102">
        <v>2448.17</v>
      </c>
    </row>
    <row r="22" spans="1:10" ht="20.25" customHeight="1">
      <c r="A22" s="96"/>
      <c r="B22" s="225" t="s">
        <v>11</v>
      </c>
      <c r="C22" s="225"/>
      <c r="D22" s="225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25" t="s">
        <v>26</v>
      </c>
      <c r="C23" s="188"/>
      <c r="D23" s="188"/>
      <c r="E23" s="104" t="s">
        <v>13</v>
      </c>
      <c r="F23" s="79" t="s">
        <v>14</v>
      </c>
      <c r="G23" s="81">
        <v>0.04</v>
      </c>
      <c r="H23" s="98">
        <f>J23-I23</f>
        <v>4037.74</v>
      </c>
      <c r="I23" s="99">
        <f>$I$12*0.003</f>
        <v>0</v>
      </c>
      <c r="J23" s="102">
        <v>4037.74</v>
      </c>
    </row>
    <row r="24" spans="1:10" ht="28.5" customHeight="1">
      <c r="A24" s="22"/>
      <c r="B24" s="225" t="s">
        <v>152</v>
      </c>
      <c r="C24" s="225"/>
      <c r="D24" s="225"/>
      <c r="E24" s="97" t="s">
        <v>36</v>
      </c>
      <c r="F24" s="39" t="s">
        <v>81</v>
      </c>
      <c r="G24" s="81">
        <v>1.87</v>
      </c>
      <c r="H24" s="98">
        <f aca="true" t="shared" si="1" ref="H24:H29">ROUND(G24*$E$3*12,2)</f>
        <v>61238.76</v>
      </c>
      <c r="I24" s="99">
        <f>$I$12*0.19</f>
        <v>0</v>
      </c>
      <c r="J24" s="100">
        <f t="shared" si="0"/>
        <v>61238.76</v>
      </c>
    </row>
    <row r="25" spans="1:10" ht="26.25" customHeight="1">
      <c r="A25" s="22"/>
      <c r="B25" s="227" t="s">
        <v>15</v>
      </c>
      <c r="C25" s="227"/>
      <c r="D25" s="227"/>
      <c r="E25" s="97" t="s">
        <v>36</v>
      </c>
      <c r="F25" s="39" t="s">
        <v>81</v>
      </c>
      <c r="G25" s="81">
        <v>0.38</v>
      </c>
      <c r="H25" s="105">
        <f>ROUND(G25*$E$3/8*7*12,2)</f>
        <v>10888.71</v>
      </c>
      <c r="I25" s="99">
        <v>0</v>
      </c>
      <c r="J25" s="100">
        <f t="shared" si="0"/>
        <v>10888.71</v>
      </c>
    </row>
    <row r="26" spans="1:10" ht="30" customHeight="1">
      <c r="A26" s="22"/>
      <c r="B26" s="228" t="s">
        <v>37</v>
      </c>
      <c r="C26" s="181"/>
      <c r="D26" s="182"/>
      <c r="E26" s="97" t="s">
        <v>36</v>
      </c>
      <c r="F26" s="39" t="s">
        <v>81</v>
      </c>
      <c r="G26" s="36">
        <f>2.97-G27-G28</f>
        <v>2.72</v>
      </c>
      <c r="H26" s="105">
        <f t="shared" si="1"/>
        <v>89074.56</v>
      </c>
      <c r="I26" s="106">
        <f>$I$12*0.22</f>
        <v>0</v>
      </c>
      <c r="J26" s="100">
        <f t="shared" si="0"/>
        <v>89074.56</v>
      </c>
    </row>
    <row r="27" spans="1:10" ht="26.25" customHeight="1">
      <c r="A27" s="96"/>
      <c r="B27" s="225" t="s">
        <v>153</v>
      </c>
      <c r="C27" s="225"/>
      <c r="D27" s="225"/>
      <c r="E27" s="97" t="s">
        <v>36</v>
      </c>
      <c r="F27" s="39" t="s">
        <v>81</v>
      </c>
      <c r="G27" s="36">
        <v>0.25</v>
      </c>
      <c r="H27" s="105">
        <f t="shared" si="1"/>
        <v>8187</v>
      </c>
      <c r="I27" s="106"/>
      <c r="J27" s="100">
        <f t="shared" si="0"/>
        <v>8187</v>
      </c>
    </row>
    <row r="28" spans="1:10" ht="17.25" customHeight="1">
      <c r="A28" s="22"/>
      <c r="B28" s="225" t="s">
        <v>154</v>
      </c>
      <c r="C28" s="225"/>
      <c r="D28" s="225"/>
      <c r="E28" s="101" t="s">
        <v>9</v>
      </c>
      <c r="F28" s="39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188" t="s">
        <v>21</v>
      </c>
      <c r="C29" s="188"/>
      <c r="D29" s="188"/>
      <c r="E29" s="101" t="s">
        <v>9</v>
      </c>
      <c r="F29" s="39" t="s">
        <v>81</v>
      </c>
      <c r="G29" s="79">
        <v>0.92</v>
      </c>
      <c r="H29" s="98">
        <f t="shared" si="1"/>
        <v>30128.16</v>
      </c>
      <c r="I29" s="99">
        <f>$I$12*0.1</f>
        <v>0</v>
      </c>
      <c r="J29" s="100">
        <f t="shared" si="0"/>
        <v>30128.16</v>
      </c>
    </row>
    <row r="30" spans="1:10" ht="21.75" customHeight="1">
      <c r="A30" s="22"/>
      <c r="B30" s="183" t="s">
        <v>155</v>
      </c>
      <c r="C30" s="184"/>
      <c r="D30" s="185"/>
      <c r="E30" s="101" t="s">
        <v>9</v>
      </c>
      <c r="F30" s="39"/>
      <c r="G30" s="79"/>
      <c r="H30" s="105"/>
      <c r="I30" s="93"/>
      <c r="J30" s="107"/>
    </row>
    <row r="31" spans="1:10" ht="27.75" customHeight="1">
      <c r="A31" s="22"/>
      <c r="B31" s="183" t="s">
        <v>156</v>
      </c>
      <c r="C31" s="184"/>
      <c r="D31" s="185"/>
      <c r="E31" s="97" t="s">
        <v>36</v>
      </c>
      <c r="F31" s="39"/>
      <c r="G31" s="79"/>
      <c r="H31" s="105"/>
      <c r="I31" s="93"/>
      <c r="J31" s="107"/>
    </row>
    <row r="32" spans="1:10" ht="15.75">
      <c r="A32" s="22"/>
      <c r="B32" s="186"/>
      <c r="C32" s="181"/>
      <c r="D32" s="182"/>
      <c r="E32" s="101"/>
      <c r="F32" s="39"/>
      <c r="G32" s="79"/>
      <c r="H32" s="105"/>
      <c r="I32" s="93"/>
      <c r="J32" s="107"/>
    </row>
    <row r="33" spans="1:10" ht="15.75">
      <c r="A33" s="22"/>
      <c r="B33" s="186"/>
      <c r="C33" s="181"/>
      <c r="D33" s="182"/>
      <c r="E33" s="101"/>
      <c r="F33" s="39"/>
      <c r="G33" s="79"/>
      <c r="H33" s="105"/>
      <c r="I33" s="93"/>
      <c r="J33" s="107"/>
    </row>
    <row r="34" spans="1:10" ht="15.75">
      <c r="A34" s="22"/>
      <c r="B34" s="220" t="s">
        <v>30</v>
      </c>
      <c r="C34" s="220"/>
      <c r="D34" s="220"/>
      <c r="E34" s="14"/>
      <c r="F34" s="39"/>
      <c r="G34" s="20">
        <f>SUM(G17:G29)</f>
        <v>8.28</v>
      </c>
      <c r="H34" s="45">
        <f>SUM(H17:H33)</f>
        <v>272460.94999999995</v>
      </c>
      <c r="I34" s="108">
        <f>SUM(I17:I33)</f>
        <v>0</v>
      </c>
      <c r="J34" s="45">
        <f>SUM(J17:J33)</f>
        <v>272460.94999999995</v>
      </c>
    </row>
    <row r="35" spans="1:10" ht="15" customHeight="1">
      <c r="A35" s="22" t="s">
        <v>157</v>
      </c>
      <c r="B35" s="222" t="s">
        <v>158</v>
      </c>
      <c r="C35" s="223"/>
      <c r="D35" s="223"/>
      <c r="E35" s="224"/>
      <c r="F35" s="39" t="s">
        <v>81</v>
      </c>
      <c r="G35" s="23">
        <f>H35/E3/12</f>
        <v>2.639855869060706</v>
      </c>
      <c r="H35" s="109">
        <v>86450</v>
      </c>
      <c r="I35" s="110"/>
      <c r="J35" s="95">
        <f t="shared" si="0"/>
        <v>86450</v>
      </c>
    </row>
    <row r="36" spans="1:10" ht="14.25" customHeight="1">
      <c r="A36" s="25"/>
      <c r="B36" s="191" t="s">
        <v>76</v>
      </c>
      <c r="C36" s="191"/>
      <c r="D36" s="191"/>
      <c r="E36" s="191"/>
      <c r="F36" s="191"/>
      <c r="G36" s="20">
        <f>SUM(G34:G35)</f>
        <v>10.919855869060704</v>
      </c>
      <c r="H36" s="46">
        <f>SUM(H34:H35)</f>
        <v>358910.94999999995</v>
      </c>
      <c r="I36" s="111">
        <f>SUM(I34:I35)</f>
        <v>0</v>
      </c>
      <c r="J36" s="111">
        <f>SUM(J34:J35)</f>
        <v>358910.94999999995</v>
      </c>
    </row>
    <row r="37" spans="1:10" ht="15.75">
      <c r="A37" s="22" t="s">
        <v>159</v>
      </c>
      <c r="B37" s="190" t="s">
        <v>160</v>
      </c>
      <c r="C37" s="190"/>
      <c r="D37" s="190"/>
      <c r="E37" s="190"/>
      <c r="F37" s="190"/>
      <c r="G37" s="23"/>
      <c r="H37" s="112"/>
      <c r="I37" s="112">
        <v>0</v>
      </c>
      <c r="J37" s="113">
        <f t="shared" si="0"/>
        <v>0</v>
      </c>
    </row>
    <row r="38" spans="1:10" ht="24.75" customHeight="1">
      <c r="A38" s="25"/>
      <c r="B38" s="191" t="s">
        <v>161</v>
      </c>
      <c r="C38" s="191"/>
      <c r="D38" s="191"/>
      <c r="E38" s="191"/>
      <c r="F38" s="191"/>
      <c r="G38" s="20">
        <f>SUM(G36:G37)</f>
        <v>10.919855869060704</v>
      </c>
      <c r="H38" s="46">
        <f>SUM(H36:H37)</f>
        <v>358910.94999999995</v>
      </c>
      <c r="I38" s="111">
        <f>SUM(I36:I37)</f>
        <v>0</v>
      </c>
      <c r="J38" s="111">
        <f>SUM(J36:J37)</f>
        <v>358910.94999999995</v>
      </c>
    </row>
    <row r="39" spans="1:10" ht="27" customHeight="1">
      <c r="A39" s="22">
        <v>3</v>
      </c>
      <c r="B39" s="198" t="s">
        <v>162</v>
      </c>
      <c r="C39" s="199"/>
      <c r="D39" s="199"/>
      <c r="E39" s="199"/>
      <c r="F39" s="199"/>
      <c r="G39" s="200"/>
      <c r="H39" s="98">
        <f>H14-H38</f>
        <v>-60692.889999999956</v>
      </c>
      <c r="I39" s="98">
        <f>I14-I38</f>
        <v>0</v>
      </c>
      <c r="J39" s="95">
        <f>J14-J38</f>
        <v>-60692.889999999956</v>
      </c>
    </row>
    <row r="40" spans="2:6" ht="15.75">
      <c r="B40" s="33"/>
      <c r="F40" s="33"/>
    </row>
    <row r="41" spans="2:9" ht="36" customHeight="1">
      <c r="B41" s="187" t="s">
        <v>191</v>
      </c>
      <c r="C41" s="187"/>
      <c r="D41" s="187"/>
      <c r="E41" s="187"/>
      <c r="F41" s="187"/>
      <c r="G41" s="187"/>
      <c r="H41" s="187"/>
      <c r="I41" s="187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10" ht="15.75">
      <c r="B44" s="33" t="s">
        <v>84</v>
      </c>
      <c r="C44" s="48"/>
      <c r="D44" s="48"/>
      <c r="E44" s="48"/>
      <c r="F44" s="48"/>
      <c r="J44"/>
    </row>
    <row r="45" spans="2:4" ht="15.75" customHeight="1">
      <c r="B45" s="197" t="s">
        <v>87</v>
      </c>
      <c r="C45" s="197"/>
      <c r="D45" s="197"/>
    </row>
  </sheetData>
  <sheetProtection/>
  <mergeCells count="37">
    <mergeCell ref="B8:F8"/>
    <mergeCell ref="B9:F9"/>
    <mergeCell ref="A1:J1"/>
    <mergeCell ref="A2:J2"/>
    <mergeCell ref="B7:D7"/>
    <mergeCell ref="H7:J7"/>
    <mergeCell ref="B14:F14"/>
    <mergeCell ref="B15:F15"/>
    <mergeCell ref="B17:D17"/>
    <mergeCell ref="B18:D18"/>
    <mergeCell ref="B10:F10"/>
    <mergeCell ref="B11:F11"/>
    <mergeCell ref="B12:F12"/>
    <mergeCell ref="B13:F13"/>
    <mergeCell ref="B27:D27"/>
    <mergeCell ref="B28:D28"/>
    <mergeCell ref="B21:D21"/>
    <mergeCell ref="B22:D22"/>
    <mergeCell ref="B35:E35"/>
    <mergeCell ref="B36:F36"/>
    <mergeCell ref="B19:D19"/>
    <mergeCell ref="B20:D20"/>
    <mergeCell ref="B33:D33"/>
    <mergeCell ref="B34:D34"/>
    <mergeCell ref="B23:D23"/>
    <mergeCell ref="B24:D24"/>
    <mergeCell ref="B25:D25"/>
    <mergeCell ref="B26:D26"/>
    <mergeCell ref="B29:D29"/>
    <mergeCell ref="B30:D30"/>
    <mergeCell ref="B31:D31"/>
    <mergeCell ref="B32:D32"/>
    <mergeCell ref="B45:D45"/>
    <mergeCell ref="B37:F37"/>
    <mergeCell ref="B38:F38"/>
    <mergeCell ref="B39:G39"/>
    <mergeCell ref="B41:I41"/>
  </mergeCell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9.375" style="0" customWidth="1"/>
    <col min="4" max="4" width="19.375" style="0" customWidth="1"/>
    <col min="5" max="5" width="18.00390625" style="0" customWidth="1"/>
    <col min="6" max="6" width="0.12890625" style="0" customWidth="1"/>
    <col min="7" max="7" width="3.00390625" style="0" hidden="1" customWidth="1"/>
    <col min="8" max="8" width="13.25390625" style="0" customWidth="1"/>
  </cols>
  <sheetData>
    <row r="1" spans="1:8" ht="101.25" customHeight="1">
      <c r="A1" s="192" t="s">
        <v>192</v>
      </c>
      <c r="B1" s="192"/>
      <c r="C1" s="192"/>
      <c r="D1" s="192"/>
      <c r="E1" s="192"/>
      <c r="F1" s="192"/>
      <c r="G1" s="192"/>
      <c r="H1" s="192"/>
    </row>
    <row r="2" spans="1:6" ht="18.75">
      <c r="A2" s="1" t="s">
        <v>82</v>
      </c>
      <c r="B2" s="1" t="s">
        <v>86</v>
      </c>
      <c r="C2" s="2"/>
      <c r="D2" s="2" t="s">
        <v>0</v>
      </c>
      <c r="E2" s="26">
        <v>2729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61.5" customHeight="1">
      <c r="A6" s="74" t="s">
        <v>61</v>
      </c>
      <c r="B6" s="240" t="s">
        <v>138</v>
      </c>
      <c r="C6" s="241"/>
      <c r="D6" s="242"/>
      <c r="E6" s="75" t="s">
        <v>6</v>
      </c>
      <c r="F6" s="75" t="s">
        <v>7</v>
      </c>
      <c r="G6" s="116" t="s">
        <v>193</v>
      </c>
      <c r="H6" s="117" t="s">
        <v>132</v>
      </c>
    </row>
    <row r="7" spans="1:8" ht="15.75" customHeight="1">
      <c r="A7" s="76">
        <v>1</v>
      </c>
      <c r="B7" s="243" t="s">
        <v>133</v>
      </c>
      <c r="C7" s="243"/>
      <c r="D7" s="243"/>
      <c r="E7" s="243"/>
      <c r="F7" s="243"/>
      <c r="G7" s="77"/>
      <c r="H7" s="118"/>
    </row>
    <row r="8" spans="1:8" ht="15.75" customHeight="1">
      <c r="A8" s="76"/>
      <c r="B8" s="204" t="s">
        <v>194</v>
      </c>
      <c r="C8" s="204"/>
      <c r="D8" s="204"/>
      <c r="E8" s="204"/>
      <c r="F8" s="204"/>
      <c r="G8" s="23">
        <f>G30</f>
        <v>10.580000000000002</v>
      </c>
      <c r="H8" s="118">
        <f>ROUND($E$2*G8*12,0)</f>
        <v>346474</v>
      </c>
    </row>
    <row r="9" spans="1:8" ht="15.75" customHeight="1">
      <c r="A9" s="76"/>
      <c r="B9" s="249" t="s">
        <v>134</v>
      </c>
      <c r="C9" s="249"/>
      <c r="D9" s="249"/>
      <c r="E9" s="249"/>
      <c r="F9" s="249"/>
      <c r="G9" s="22">
        <v>0.76</v>
      </c>
      <c r="H9" s="118">
        <f>ROUND($E$2*G9*12,0)</f>
        <v>24888</v>
      </c>
    </row>
    <row r="10" spans="1:8" ht="18.75" customHeight="1">
      <c r="A10" s="76">
        <v>2</v>
      </c>
      <c r="B10" s="205" t="s">
        <v>74</v>
      </c>
      <c r="C10" s="205"/>
      <c r="D10" s="205"/>
      <c r="E10" s="205"/>
      <c r="F10" s="205"/>
      <c r="G10" s="79"/>
      <c r="H10" s="118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18"/>
    </row>
    <row r="12" spans="1:8" ht="33" customHeight="1">
      <c r="A12" s="119"/>
      <c r="B12" s="248" t="s">
        <v>195</v>
      </c>
      <c r="C12" s="248"/>
      <c r="D12" s="248"/>
      <c r="E12" s="97" t="s">
        <v>32</v>
      </c>
      <c r="F12" s="80" t="s">
        <v>24</v>
      </c>
      <c r="G12" s="81">
        <v>1.06</v>
      </c>
      <c r="H12" s="78">
        <f aca="true" t="shared" si="0" ref="H12:H30">ROUND($E$2*G12*12,0)</f>
        <v>34713</v>
      </c>
    </row>
    <row r="13" spans="1:8" ht="28.5" customHeight="1">
      <c r="A13" s="119"/>
      <c r="B13" s="248" t="s">
        <v>17</v>
      </c>
      <c r="C13" s="248"/>
      <c r="D13" s="248"/>
      <c r="E13" s="97" t="s">
        <v>32</v>
      </c>
      <c r="F13" s="80" t="s">
        <v>19</v>
      </c>
      <c r="G13" s="81">
        <v>0.28</v>
      </c>
      <c r="H13" s="78">
        <f t="shared" si="0"/>
        <v>9169</v>
      </c>
    </row>
    <row r="14" spans="1:8" ht="28.5" customHeight="1">
      <c r="A14" s="119"/>
      <c r="B14" s="247" t="s">
        <v>23</v>
      </c>
      <c r="C14" s="247"/>
      <c r="D14" s="247"/>
      <c r="E14" s="101" t="s">
        <v>150</v>
      </c>
      <c r="F14" s="82" t="s">
        <v>20</v>
      </c>
      <c r="G14" s="81">
        <v>0.39</v>
      </c>
      <c r="H14" s="78">
        <f t="shared" si="0"/>
        <v>12772</v>
      </c>
    </row>
    <row r="15" spans="1:8" ht="28.5" customHeight="1">
      <c r="A15" s="119"/>
      <c r="B15" s="251" t="s">
        <v>31</v>
      </c>
      <c r="C15" s="251"/>
      <c r="D15" s="251"/>
      <c r="E15" s="103" t="s">
        <v>9</v>
      </c>
      <c r="F15" s="83" t="s">
        <v>10</v>
      </c>
      <c r="G15" s="81">
        <v>0.51</v>
      </c>
      <c r="H15" s="78">
        <f t="shared" si="0"/>
        <v>16701</v>
      </c>
    </row>
    <row r="16" spans="1:8" ht="42.75" customHeight="1">
      <c r="A16" s="119"/>
      <c r="B16" s="247" t="s">
        <v>27</v>
      </c>
      <c r="C16" s="247"/>
      <c r="D16" s="247"/>
      <c r="E16" s="101" t="s">
        <v>151</v>
      </c>
      <c r="F16" s="82" t="s">
        <v>25</v>
      </c>
      <c r="G16" s="81">
        <v>0.12</v>
      </c>
      <c r="H16" s="78">
        <f t="shared" si="0"/>
        <v>3930</v>
      </c>
    </row>
    <row r="17" spans="1:8" ht="31.5" customHeight="1">
      <c r="A17" s="119"/>
      <c r="B17" s="247" t="s">
        <v>11</v>
      </c>
      <c r="C17" s="247"/>
      <c r="D17" s="247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33" customHeight="1">
      <c r="A18" s="119"/>
      <c r="B18" s="247" t="s">
        <v>26</v>
      </c>
      <c r="C18" s="250"/>
      <c r="D18" s="250"/>
      <c r="E18" s="104" t="s">
        <v>13</v>
      </c>
      <c r="F18" s="79" t="s">
        <v>196</v>
      </c>
      <c r="G18" s="81">
        <v>0.05</v>
      </c>
      <c r="H18" s="78">
        <f t="shared" si="0"/>
        <v>1637</v>
      </c>
    </row>
    <row r="19" spans="1:8" ht="33" customHeight="1">
      <c r="A19" s="119"/>
      <c r="B19" s="247" t="s">
        <v>152</v>
      </c>
      <c r="C19" s="247"/>
      <c r="D19" s="247"/>
      <c r="E19" s="97" t="s">
        <v>36</v>
      </c>
      <c r="F19" s="82" t="s">
        <v>81</v>
      </c>
      <c r="G19" s="81">
        <v>2.15</v>
      </c>
      <c r="H19" s="78">
        <f t="shared" si="0"/>
        <v>70408</v>
      </c>
    </row>
    <row r="20" spans="1:8" ht="33" customHeight="1">
      <c r="A20" s="119"/>
      <c r="B20" s="248" t="s">
        <v>15</v>
      </c>
      <c r="C20" s="248"/>
      <c r="D20" s="248"/>
      <c r="E20" s="97" t="s">
        <v>136</v>
      </c>
      <c r="F20" s="82" t="s">
        <v>81</v>
      </c>
      <c r="G20" s="81">
        <v>0.44</v>
      </c>
      <c r="H20" s="78">
        <f t="shared" si="0"/>
        <v>14409</v>
      </c>
    </row>
    <row r="21" spans="1:8" ht="38.25" customHeight="1">
      <c r="A21" s="119"/>
      <c r="B21" s="247" t="s">
        <v>37</v>
      </c>
      <c r="C21" s="250"/>
      <c r="D21" s="250"/>
      <c r="E21" s="97" t="s">
        <v>36</v>
      </c>
      <c r="F21" s="82" t="s">
        <v>81</v>
      </c>
      <c r="G21" s="81">
        <f>3.46-G22-G23</f>
        <v>3.17</v>
      </c>
      <c r="H21" s="78">
        <f t="shared" si="0"/>
        <v>103811</v>
      </c>
    </row>
    <row r="22" spans="1:8" ht="31.5" customHeight="1">
      <c r="A22" s="119"/>
      <c r="B22" s="247" t="s">
        <v>197</v>
      </c>
      <c r="C22" s="247"/>
      <c r="D22" s="247"/>
      <c r="E22" s="101" t="s">
        <v>9</v>
      </c>
      <c r="F22" s="82" t="s">
        <v>81</v>
      </c>
      <c r="G22" s="81">
        <v>0.29</v>
      </c>
      <c r="H22" s="78">
        <f t="shared" si="0"/>
        <v>9497</v>
      </c>
    </row>
    <row r="23" spans="1:8" ht="29.25" customHeight="1">
      <c r="A23" s="119"/>
      <c r="B23" s="247" t="s">
        <v>154</v>
      </c>
      <c r="C23" s="247"/>
      <c r="D23" s="247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19"/>
      <c r="B24" s="250" t="s">
        <v>21</v>
      </c>
      <c r="C24" s="250"/>
      <c r="D24" s="250"/>
      <c r="E24" s="97" t="s">
        <v>36</v>
      </c>
      <c r="F24" s="82" t="s">
        <v>81</v>
      </c>
      <c r="G24" s="81">
        <v>1.06</v>
      </c>
      <c r="H24" s="78">
        <f t="shared" si="0"/>
        <v>34713</v>
      </c>
    </row>
    <row r="25" spans="1:8" ht="42" customHeight="1">
      <c r="A25" s="22"/>
      <c r="B25" s="183" t="s">
        <v>155</v>
      </c>
      <c r="C25" s="184"/>
      <c r="D25" s="185"/>
      <c r="E25" s="101" t="s">
        <v>9</v>
      </c>
      <c r="F25" s="82"/>
      <c r="G25" s="81"/>
      <c r="H25" s="78"/>
    </row>
    <row r="26" spans="1:8" ht="25.5">
      <c r="A26" s="22"/>
      <c r="B26" s="183" t="s">
        <v>156</v>
      </c>
      <c r="C26" s="184"/>
      <c r="D26" s="185"/>
      <c r="E26" s="97" t="s">
        <v>36</v>
      </c>
      <c r="F26" s="82"/>
      <c r="G26" s="81"/>
      <c r="H26" s="78"/>
    </row>
    <row r="27" spans="1:8" ht="14.25" customHeight="1">
      <c r="A27" s="119"/>
      <c r="B27" s="186"/>
      <c r="C27" s="181"/>
      <c r="D27" s="182"/>
      <c r="E27" s="97"/>
      <c r="F27" s="82"/>
      <c r="G27" s="81"/>
      <c r="H27" s="78"/>
    </row>
    <row r="28" spans="1:8" ht="15.75">
      <c r="A28" s="119"/>
      <c r="B28" s="244" t="s">
        <v>30</v>
      </c>
      <c r="C28" s="245"/>
      <c r="D28" s="246"/>
      <c r="E28" s="14"/>
      <c r="F28" s="82"/>
      <c r="G28" s="20">
        <f>SUM(G12:G27)</f>
        <v>9.520000000000001</v>
      </c>
      <c r="H28" s="78">
        <f t="shared" si="0"/>
        <v>311761</v>
      </c>
    </row>
    <row r="29" spans="1:8" ht="41.25" customHeight="1">
      <c r="A29" s="76" t="s">
        <v>157</v>
      </c>
      <c r="B29" s="222" t="s">
        <v>198</v>
      </c>
      <c r="C29" s="223"/>
      <c r="D29" s="223"/>
      <c r="E29" s="224"/>
      <c r="F29" s="50" t="s">
        <v>137</v>
      </c>
      <c r="G29" s="23">
        <v>1.06</v>
      </c>
      <c r="H29" s="78">
        <f t="shared" si="0"/>
        <v>34713</v>
      </c>
    </row>
    <row r="30" spans="1:8" ht="15.75">
      <c r="A30" s="76"/>
      <c r="B30" s="236" t="s">
        <v>199</v>
      </c>
      <c r="C30" s="236"/>
      <c r="D30" s="236"/>
      <c r="E30" s="236"/>
      <c r="F30" s="236"/>
      <c r="G30" s="20">
        <f>SUM(G28:G29)</f>
        <v>10.580000000000002</v>
      </c>
      <c r="H30" s="120">
        <f t="shared" si="0"/>
        <v>346474</v>
      </c>
    </row>
    <row r="31" spans="1:8" ht="18" customHeight="1" thickBot="1">
      <c r="A31" s="121">
        <v>3</v>
      </c>
      <c r="B31" s="237" t="s">
        <v>200</v>
      </c>
      <c r="C31" s="238"/>
      <c r="D31" s="239"/>
      <c r="E31" s="122"/>
      <c r="F31" s="123" t="s">
        <v>137</v>
      </c>
      <c r="G31" s="84">
        <v>0.76</v>
      </c>
      <c r="H31" s="124">
        <f>ROUND($E$2*G31*12,0)</f>
        <v>24888</v>
      </c>
    </row>
    <row r="32" ht="15.75" customHeight="1"/>
    <row r="33" spans="2:5" ht="15.75">
      <c r="B33" s="33" t="s">
        <v>201</v>
      </c>
      <c r="C33" s="33"/>
      <c r="D33" s="33"/>
      <c r="E33" s="33"/>
    </row>
  </sheetData>
  <sheetProtection/>
  <mergeCells count="26">
    <mergeCell ref="B26:D26"/>
    <mergeCell ref="B27:D27"/>
    <mergeCell ref="B21:D21"/>
    <mergeCell ref="B22:D22"/>
    <mergeCell ref="B23:D23"/>
    <mergeCell ref="B24:D24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</mergeCells>
  <printOptions/>
  <pageMargins left="0.7874015748031497" right="0.31496062992125984" top="0" bottom="0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4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00390625" style="0" customWidth="1"/>
    <col min="6" max="6" width="0.12890625" style="0" hidden="1" customWidth="1"/>
    <col min="7" max="7" width="12.37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92" t="s">
        <v>202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54" customHeight="1">
      <c r="A2" s="229" t="s">
        <v>203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8.75">
      <c r="A3" s="1" t="s">
        <v>82</v>
      </c>
      <c r="B3" s="1" t="s">
        <v>86</v>
      </c>
      <c r="C3" s="2"/>
      <c r="D3" s="2" t="s">
        <v>0</v>
      </c>
      <c r="E3" s="26">
        <v>2729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0" ht="39" customHeight="1">
      <c r="A7" s="21" t="s">
        <v>61</v>
      </c>
      <c r="B7" s="230" t="s">
        <v>138</v>
      </c>
      <c r="C7" s="231"/>
      <c r="D7" s="232"/>
      <c r="E7" s="11" t="s">
        <v>6</v>
      </c>
      <c r="F7" s="11" t="s">
        <v>7</v>
      </c>
      <c r="G7" s="86" t="s">
        <v>22</v>
      </c>
      <c r="H7" s="233" t="s">
        <v>139</v>
      </c>
      <c r="I7" s="234"/>
      <c r="J7" s="235"/>
    </row>
    <row r="8" spans="1:10" ht="15.75">
      <c r="A8" s="22">
        <v>1</v>
      </c>
      <c r="B8" s="208"/>
      <c r="C8" s="209"/>
      <c r="D8" s="209"/>
      <c r="E8" s="209"/>
      <c r="F8" s="210"/>
      <c r="G8" s="87"/>
      <c r="H8" s="88" t="s">
        <v>140</v>
      </c>
      <c r="I8" s="89" t="s">
        <v>141</v>
      </c>
      <c r="J8" s="89" t="s">
        <v>142</v>
      </c>
    </row>
    <row r="9" spans="1:10" ht="15.75">
      <c r="A9" s="22"/>
      <c r="B9" s="208" t="s">
        <v>143</v>
      </c>
      <c r="C9" s="209"/>
      <c r="D9" s="209"/>
      <c r="E9" s="209"/>
      <c r="F9" s="210"/>
      <c r="G9" s="90"/>
      <c r="H9" s="90"/>
      <c r="I9" s="57"/>
      <c r="J9" s="89"/>
    </row>
    <row r="10" spans="1:10" ht="15.75">
      <c r="A10" s="91"/>
      <c r="B10" s="203" t="s">
        <v>144</v>
      </c>
      <c r="C10" s="203"/>
      <c r="D10" s="203"/>
      <c r="E10" s="203"/>
      <c r="F10" s="203"/>
      <c r="G10" s="15"/>
      <c r="H10" s="92">
        <v>321989.25</v>
      </c>
      <c r="I10" s="77"/>
      <c r="J10" s="58">
        <f>H10+I10</f>
        <v>321989.25</v>
      </c>
    </row>
    <row r="11" spans="1:10" ht="15.75">
      <c r="A11" s="91"/>
      <c r="B11" s="203" t="s">
        <v>145</v>
      </c>
      <c r="C11" s="203"/>
      <c r="D11" s="203"/>
      <c r="E11" s="203"/>
      <c r="F11" s="203"/>
      <c r="G11" s="15"/>
      <c r="H11" s="16">
        <v>19332.74</v>
      </c>
      <c r="I11" s="77"/>
      <c r="J11" s="58">
        <f>H11+I11</f>
        <v>19332.74</v>
      </c>
    </row>
    <row r="12" spans="1:10" ht="15.75">
      <c r="A12" s="22"/>
      <c r="B12" s="203" t="s">
        <v>146</v>
      </c>
      <c r="C12" s="203"/>
      <c r="D12" s="203"/>
      <c r="E12" s="203"/>
      <c r="F12" s="203"/>
      <c r="G12" s="15"/>
      <c r="H12" s="92"/>
      <c r="I12" s="77">
        <v>0</v>
      </c>
      <c r="J12" s="58">
        <f>H12+I12</f>
        <v>0</v>
      </c>
    </row>
    <row r="13" spans="1:10" ht="15.75">
      <c r="A13" s="22"/>
      <c r="B13" s="203" t="s">
        <v>147</v>
      </c>
      <c r="C13" s="203"/>
      <c r="D13" s="203"/>
      <c r="E13" s="203"/>
      <c r="F13" s="203"/>
      <c r="G13" s="15"/>
      <c r="H13" s="92">
        <v>0</v>
      </c>
      <c r="I13" s="93">
        <v>0</v>
      </c>
      <c r="J13" s="58">
        <f>H13+I13</f>
        <v>0</v>
      </c>
    </row>
    <row r="14" spans="1:10" ht="15.75">
      <c r="A14" s="22"/>
      <c r="B14" s="204" t="s">
        <v>148</v>
      </c>
      <c r="C14" s="204"/>
      <c r="D14" s="204"/>
      <c r="E14" s="204"/>
      <c r="F14" s="204"/>
      <c r="G14" s="15"/>
      <c r="H14" s="41">
        <f>SUM(H10:H13)</f>
        <v>341321.99</v>
      </c>
      <c r="I14" s="41">
        <f>SUM(I10:I13)</f>
        <v>0</v>
      </c>
      <c r="J14" s="41">
        <f>SUM(J10:J13)</f>
        <v>341321.99</v>
      </c>
    </row>
    <row r="15" spans="1:10" ht="18.75">
      <c r="A15" s="22">
        <v>2</v>
      </c>
      <c r="B15" s="205" t="s">
        <v>74</v>
      </c>
      <c r="C15" s="205"/>
      <c r="D15" s="205"/>
      <c r="E15" s="205"/>
      <c r="F15" s="205"/>
      <c r="G15" s="15"/>
      <c r="H15" s="92"/>
      <c r="I15" s="77"/>
      <c r="J15" s="49"/>
    </row>
    <row r="16" spans="1:10" ht="15.75">
      <c r="A16" s="22" t="s">
        <v>149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26" t="s">
        <v>135</v>
      </c>
      <c r="C17" s="226"/>
      <c r="D17" s="226"/>
      <c r="E17" s="97" t="s">
        <v>32</v>
      </c>
      <c r="F17" s="80" t="s">
        <v>24</v>
      </c>
      <c r="G17" s="81">
        <v>1.06</v>
      </c>
      <c r="H17" s="98">
        <f>ROUND(G17*$E$3*12,2)</f>
        <v>34712.88</v>
      </c>
      <c r="I17" s="99">
        <f>$I$12*0.08</f>
        <v>0</v>
      </c>
      <c r="J17" s="100">
        <f>SUM(H17:I17)</f>
        <v>34712.88</v>
      </c>
    </row>
    <row r="18" spans="1:10" ht="17.25" customHeight="1">
      <c r="A18" s="22"/>
      <c r="B18" s="227" t="s">
        <v>17</v>
      </c>
      <c r="C18" s="227"/>
      <c r="D18" s="227"/>
      <c r="E18" s="97" t="s">
        <v>32</v>
      </c>
      <c r="F18" s="80" t="s">
        <v>19</v>
      </c>
      <c r="G18" s="81">
        <v>0.28</v>
      </c>
      <c r="H18" s="98">
        <f>ROUND(G18*$E$3*12,2)</f>
        <v>9169.44</v>
      </c>
      <c r="I18" s="99">
        <f>$I$12*0.02</f>
        <v>0</v>
      </c>
      <c r="J18" s="100">
        <f>SUM(H18:I18)</f>
        <v>9169.44</v>
      </c>
    </row>
    <row r="19" spans="1:10" ht="20.25" customHeight="1">
      <c r="A19" s="22"/>
      <c r="B19" s="225" t="s">
        <v>23</v>
      </c>
      <c r="C19" s="225"/>
      <c r="D19" s="225"/>
      <c r="E19" s="101" t="s">
        <v>150</v>
      </c>
      <c r="F19" s="82" t="s">
        <v>20</v>
      </c>
      <c r="G19" s="81">
        <v>0.39</v>
      </c>
      <c r="H19" s="98">
        <f>J19-I19</f>
        <v>7666.17</v>
      </c>
      <c r="I19" s="99">
        <f>$I$12*0.07</f>
        <v>0</v>
      </c>
      <c r="J19" s="102">
        <v>7666.17</v>
      </c>
    </row>
    <row r="20" spans="1:10" ht="20.25" customHeight="1">
      <c r="A20" s="96"/>
      <c r="B20" s="226" t="s">
        <v>31</v>
      </c>
      <c r="C20" s="226"/>
      <c r="D20" s="226"/>
      <c r="E20" s="103" t="s">
        <v>9</v>
      </c>
      <c r="F20" s="83" t="s">
        <v>10</v>
      </c>
      <c r="G20" s="81">
        <v>0.51</v>
      </c>
      <c r="H20" s="98">
        <f>ROUND(G20*$E$3*12,2)</f>
        <v>16701.48</v>
      </c>
      <c r="I20" s="99">
        <f>$I$12*0.04</f>
        <v>0</v>
      </c>
      <c r="J20" s="100">
        <f>SUM(H20:I20)</f>
        <v>16701.48</v>
      </c>
    </row>
    <row r="21" spans="1:10" ht="60.75" customHeight="1">
      <c r="A21" s="22"/>
      <c r="B21" s="225" t="s">
        <v>27</v>
      </c>
      <c r="C21" s="225"/>
      <c r="D21" s="225"/>
      <c r="E21" s="101" t="s">
        <v>151</v>
      </c>
      <c r="F21" s="82" t="s">
        <v>25</v>
      </c>
      <c r="G21" s="81">
        <v>0.12</v>
      </c>
      <c r="H21" s="98">
        <f>J21-I21</f>
        <v>3153.11</v>
      </c>
      <c r="I21" s="99">
        <f>$I$12*0.01</f>
        <v>0</v>
      </c>
      <c r="J21" s="102">
        <v>3153.11</v>
      </c>
    </row>
    <row r="22" spans="1:10" ht="20.25" customHeight="1">
      <c r="A22" s="96"/>
      <c r="B22" s="225" t="s">
        <v>11</v>
      </c>
      <c r="C22" s="225"/>
      <c r="D22" s="225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25" t="s">
        <v>26</v>
      </c>
      <c r="C23" s="188"/>
      <c r="D23" s="188"/>
      <c r="E23" s="104" t="s">
        <v>13</v>
      </c>
      <c r="F23" s="79" t="s">
        <v>14</v>
      </c>
      <c r="G23" s="81">
        <v>0.05</v>
      </c>
      <c r="H23" s="98">
        <f>J23-I23</f>
        <v>3402.6</v>
      </c>
      <c r="I23" s="99">
        <f>$I$12*0.003</f>
        <v>0</v>
      </c>
      <c r="J23" s="102">
        <v>3402.6</v>
      </c>
    </row>
    <row r="24" spans="1:10" ht="28.5" customHeight="1">
      <c r="A24" s="22"/>
      <c r="B24" s="225" t="s">
        <v>152</v>
      </c>
      <c r="C24" s="225"/>
      <c r="D24" s="225"/>
      <c r="E24" s="97" t="s">
        <v>36</v>
      </c>
      <c r="F24" s="39" t="s">
        <v>81</v>
      </c>
      <c r="G24" s="81">
        <v>2.15</v>
      </c>
      <c r="H24" s="98">
        <f aca="true" t="shared" si="0" ref="H24:H29">ROUND(G24*$E$3*12,2)</f>
        <v>70408.2</v>
      </c>
      <c r="I24" s="99">
        <f>$I$12*0.19</f>
        <v>0</v>
      </c>
      <c r="J24" s="100">
        <f aca="true" t="shared" si="1" ref="J24:J29">SUM(H24:I24)</f>
        <v>70408.2</v>
      </c>
    </row>
    <row r="25" spans="1:10" ht="26.25" customHeight="1">
      <c r="A25" s="22"/>
      <c r="B25" s="227" t="s">
        <v>15</v>
      </c>
      <c r="C25" s="227"/>
      <c r="D25" s="227"/>
      <c r="E25" s="97" t="s">
        <v>36</v>
      </c>
      <c r="F25" s="39" t="s">
        <v>81</v>
      </c>
      <c r="G25" s="81">
        <v>0.44</v>
      </c>
      <c r="H25" s="105">
        <f>ROUND(G25*$E$3*12,2)</f>
        <v>14409.12</v>
      </c>
      <c r="I25" s="99">
        <v>0</v>
      </c>
      <c r="J25" s="100">
        <f t="shared" si="1"/>
        <v>14409.12</v>
      </c>
    </row>
    <row r="26" spans="1:10" ht="30" customHeight="1">
      <c r="A26" s="22"/>
      <c r="B26" s="228" t="s">
        <v>37</v>
      </c>
      <c r="C26" s="181"/>
      <c r="D26" s="182"/>
      <c r="E26" s="97" t="s">
        <v>36</v>
      </c>
      <c r="F26" s="39" t="s">
        <v>81</v>
      </c>
      <c r="G26" s="36">
        <f>3.46-G27-G28</f>
        <v>3.17</v>
      </c>
      <c r="H26" s="105">
        <f t="shared" si="0"/>
        <v>103811.16</v>
      </c>
      <c r="I26" s="106">
        <f>$I$12*0.22</f>
        <v>0</v>
      </c>
      <c r="J26" s="100">
        <f t="shared" si="1"/>
        <v>103811.16</v>
      </c>
    </row>
    <row r="27" spans="1:10" ht="26.25" customHeight="1">
      <c r="A27" s="96"/>
      <c r="B27" s="225" t="s">
        <v>153</v>
      </c>
      <c r="C27" s="225"/>
      <c r="D27" s="225"/>
      <c r="E27" s="97" t="s">
        <v>36</v>
      </c>
      <c r="F27" s="39" t="s">
        <v>81</v>
      </c>
      <c r="G27" s="36">
        <v>0.29</v>
      </c>
      <c r="H27" s="105">
        <f t="shared" si="0"/>
        <v>9496.92</v>
      </c>
      <c r="I27" s="106"/>
      <c r="J27" s="100">
        <f t="shared" si="1"/>
        <v>9496.92</v>
      </c>
    </row>
    <row r="28" spans="1:10" ht="17.25" customHeight="1">
      <c r="A28" s="22"/>
      <c r="B28" s="225" t="s">
        <v>154</v>
      </c>
      <c r="C28" s="225"/>
      <c r="D28" s="225"/>
      <c r="E28" s="101" t="s">
        <v>9</v>
      </c>
      <c r="F28" s="39" t="s">
        <v>81</v>
      </c>
      <c r="G28" s="36">
        <v>0</v>
      </c>
      <c r="H28" s="105">
        <f t="shared" si="0"/>
        <v>0</v>
      </c>
      <c r="I28" s="106"/>
      <c r="J28" s="100">
        <f t="shared" si="1"/>
        <v>0</v>
      </c>
    </row>
    <row r="29" spans="1:10" ht="17.25" customHeight="1">
      <c r="A29" s="22"/>
      <c r="B29" s="188" t="s">
        <v>21</v>
      </c>
      <c r="C29" s="188"/>
      <c r="D29" s="188"/>
      <c r="E29" s="101" t="s">
        <v>9</v>
      </c>
      <c r="F29" s="39" t="s">
        <v>81</v>
      </c>
      <c r="G29" s="79">
        <v>1.06</v>
      </c>
      <c r="H29" s="98">
        <f t="shared" si="0"/>
        <v>34712.88</v>
      </c>
      <c r="I29" s="99">
        <f>$I$12*0.1</f>
        <v>0</v>
      </c>
      <c r="J29" s="100">
        <f t="shared" si="1"/>
        <v>34712.88</v>
      </c>
    </row>
    <row r="30" spans="1:10" ht="15.75">
      <c r="A30" s="22"/>
      <c r="B30" s="186"/>
      <c r="C30" s="181"/>
      <c r="D30" s="182"/>
      <c r="E30" s="101"/>
      <c r="F30" s="39"/>
      <c r="G30" s="79"/>
      <c r="H30" s="105"/>
      <c r="I30" s="93"/>
      <c r="J30" s="107"/>
    </row>
    <row r="31" spans="1:10" ht="15.75">
      <c r="A31" s="22"/>
      <c r="B31" s="186"/>
      <c r="C31" s="181"/>
      <c r="D31" s="182"/>
      <c r="E31" s="101"/>
      <c r="F31" s="39"/>
      <c r="G31" s="79"/>
      <c r="H31" s="105"/>
      <c r="I31" s="93"/>
      <c r="J31" s="107"/>
    </row>
    <row r="32" spans="1:10" ht="15.75">
      <c r="A32" s="22"/>
      <c r="B32" s="220" t="s">
        <v>30</v>
      </c>
      <c r="C32" s="220"/>
      <c r="D32" s="220"/>
      <c r="E32" s="14"/>
      <c r="F32" s="39"/>
      <c r="G32" s="20">
        <f>SUM(G17:G29)</f>
        <v>9.520000000000001</v>
      </c>
      <c r="H32" s="45">
        <f>SUM(H17:H31)</f>
        <v>307643.96</v>
      </c>
      <c r="I32" s="108">
        <f>SUM(I17:I31)</f>
        <v>0</v>
      </c>
      <c r="J32" s="45">
        <f>SUM(J17:J31)</f>
        <v>307643.96</v>
      </c>
    </row>
    <row r="33" spans="1:10" ht="21.75" customHeight="1">
      <c r="A33" s="22"/>
      <c r="B33" s="183" t="s">
        <v>155</v>
      </c>
      <c r="C33" s="184"/>
      <c r="D33" s="185"/>
      <c r="E33" s="101" t="s">
        <v>9</v>
      </c>
      <c r="F33" s="39"/>
      <c r="G33" s="79"/>
      <c r="H33" s="105"/>
      <c r="I33" s="93"/>
      <c r="J33" s="107"/>
    </row>
    <row r="34" spans="1:10" ht="27.75" customHeight="1">
      <c r="A34" s="22"/>
      <c r="B34" s="183" t="s">
        <v>156</v>
      </c>
      <c r="C34" s="184"/>
      <c r="D34" s="185"/>
      <c r="E34" s="97" t="s">
        <v>36</v>
      </c>
      <c r="F34" s="39"/>
      <c r="G34" s="79"/>
      <c r="H34" s="105"/>
      <c r="I34" s="93"/>
      <c r="J34" s="107"/>
    </row>
    <row r="35" spans="1:10" ht="15.75">
      <c r="A35" s="22"/>
      <c r="B35" s="186"/>
      <c r="C35" s="181"/>
      <c r="D35" s="182"/>
      <c r="E35" s="101"/>
      <c r="F35" s="39"/>
      <c r="G35" s="79"/>
      <c r="H35" s="105"/>
      <c r="I35" s="93"/>
      <c r="J35" s="107"/>
    </row>
    <row r="36" spans="1:10" ht="15" customHeight="1">
      <c r="A36" s="22" t="s">
        <v>157</v>
      </c>
      <c r="B36" s="222" t="s">
        <v>158</v>
      </c>
      <c r="C36" s="223"/>
      <c r="D36" s="223"/>
      <c r="E36" s="224"/>
      <c r="F36" s="39" t="s">
        <v>81</v>
      </c>
      <c r="G36" s="23">
        <f>H36/E3/12</f>
        <v>5.005023207524124</v>
      </c>
      <c r="H36" s="109">
        <v>163904.5</v>
      </c>
      <c r="I36" s="110"/>
      <c r="J36" s="95">
        <f>SUM(H36:I36)</f>
        <v>163904.5</v>
      </c>
    </row>
    <row r="37" spans="1:10" ht="14.25" customHeight="1">
      <c r="A37" s="25"/>
      <c r="B37" s="191" t="s">
        <v>76</v>
      </c>
      <c r="C37" s="191"/>
      <c r="D37" s="191"/>
      <c r="E37" s="191"/>
      <c r="F37" s="191"/>
      <c r="G37" s="20">
        <f>SUM(G32:G36)</f>
        <v>14.525023207524125</v>
      </c>
      <c r="H37" s="46">
        <f>SUM(H32:H36)</f>
        <v>471548.46</v>
      </c>
      <c r="I37" s="111">
        <f>SUM(I32:I36)</f>
        <v>0</v>
      </c>
      <c r="J37" s="111">
        <f>SUM(J32:J36)</f>
        <v>471548.46</v>
      </c>
    </row>
    <row r="38" spans="1:10" ht="15.75">
      <c r="A38" s="22" t="s">
        <v>159</v>
      </c>
      <c r="B38" s="190" t="s">
        <v>160</v>
      </c>
      <c r="C38" s="190"/>
      <c r="D38" s="190"/>
      <c r="E38" s="190"/>
      <c r="F38" s="190"/>
      <c r="G38" s="23"/>
      <c r="H38" s="112">
        <v>0</v>
      </c>
      <c r="I38" s="112">
        <v>0</v>
      </c>
      <c r="J38" s="113">
        <f>SUM(H38:I38)</f>
        <v>0</v>
      </c>
    </row>
    <row r="39" spans="1:10" ht="24.75" customHeight="1">
      <c r="A39" s="25"/>
      <c r="B39" s="191" t="s">
        <v>161</v>
      </c>
      <c r="C39" s="191"/>
      <c r="D39" s="191"/>
      <c r="E39" s="191"/>
      <c r="F39" s="191"/>
      <c r="G39" s="20">
        <f>SUM(G37:G38)</f>
        <v>14.525023207524125</v>
      </c>
      <c r="H39" s="46">
        <f>SUM(H37:H38)</f>
        <v>471548.46</v>
      </c>
      <c r="I39" s="111">
        <f>SUM(I37:I38)</f>
        <v>0</v>
      </c>
      <c r="J39" s="111">
        <f>SUM(J37:J38)</f>
        <v>471548.46</v>
      </c>
    </row>
    <row r="40" spans="1:10" ht="27" customHeight="1">
      <c r="A40" s="22">
        <v>3</v>
      </c>
      <c r="B40" s="252" t="s">
        <v>204</v>
      </c>
      <c r="C40" s="199"/>
      <c r="D40" s="199"/>
      <c r="E40" s="199"/>
      <c r="F40" s="199"/>
      <c r="G40" s="200"/>
      <c r="H40" s="98">
        <f>H14-H39</f>
        <v>-130226.47000000003</v>
      </c>
      <c r="I40" s="98">
        <f>I14-I39</f>
        <v>0</v>
      </c>
      <c r="J40" s="95">
        <f>J14-J39</f>
        <v>-130226.47000000003</v>
      </c>
    </row>
    <row r="41" spans="2:6" ht="15.75">
      <c r="B41" s="33"/>
      <c r="F41" s="33"/>
    </row>
    <row r="42" spans="2:9" ht="36" customHeight="1">
      <c r="B42" s="187" t="s">
        <v>191</v>
      </c>
      <c r="C42" s="187"/>
      <c r="D42" s="187"/>
      <c r="E42" s="187"/>
      <c r="F42" s="187"/>
      <c r="G42" s="187"/>
      <c r="H42" s="187"/>
      <c r="I42" s="187"/>
    </row>
    <row r="43" spans="2:4" ht="25.5" customHeight="1">
      <c r="B43" s="33"/>
      <c r="C43" s="33"/>
      <c r="D43" s="33"/>
    </row>
    <row r="44" spans="2:10" ht="15.75">
      <c r="B44" s="33" t="s">
        <v>205</v>
      </c>
      <c r="C44" s="48"/>
      <c r="D44" s="48"/>
      <c r="E44" s="48"/>
      <c r="F44" s="48"/>
      <c r="J44"/>
    </row>
    <row r="45" spans="2:4" ht="15.75" customHeight="1">
      <c r="B45" s="197" t="s">
        <v>87</v>
      </c>
      <c r="C45" s="197"/>
      <c r="D45" s="197"/>
    </row>
  </sheetData>
  <sheetProtection/>
  <mergeCells count="38">
    <mergeCell ref="B8:F8"/>
    <mergeCell ref="B9:F9"/>
    <mergeCell ref="A1:J1"/>
    <mergeCell ref="A2:J2"/>
    <mergeCell ref="B7:D7"/>
    <mergeCell ref="H7:J7"/>
    <mergeCell ref="B10:F10"/>
    <mergeCell ref="B11:F11"/>
    <mergeCell ref="B12:F12"/>
    <mergeCell ref="B13:F13"/>
    <mergeCell ref="B14:F14"/>
    <mergeCell ref="B15:F15"/>
    <mergeCell ref="B17:D17"/>
    <mergeCell ref="B18:D18"/>
    <mergeCell ref="B27:D27"/>
    <mergeCell ref="B28:D28"/>
    <mergeCell ref="B21:D21"/>
    <mergeCell ref="B22:D22"/>
    <mergeCell ref="B19:D19"/>
    <mergeCell ref="B20:D20"/>
    <mergeCell ref="B31:D31"/>
    <mergeCell ref="B32:D32"/>
    <mergeCell ref="B23:D23"/>
    <mergeCell ref="B24:D24"/>
    <mergeCell ref="B25:D25"/>
    <mergeCell ref="B26:D26"/>
    <mergeCell ref="B29:D29"/>
    <mergeCell ref="B30:D30"/>
    <mergeCell ref="B45:D45"/>
    <mergeCell ref="B33:D33"/>
    <mergeCell ref="B34:D34"/>
    <mergeCell ref="B35:D35"/>
    <mergeCell ref="B36:E36"/>
    <mergeCell ref="B37:F37"/>
    <mergeCell ref="B38:F38"/>
    <mergeCell ref="B39:F39"/>
    <mergeCell ref="B40:G40"/>
    <mergeCell ref="B42:I42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33"/>
  <sheetViews>
    <sheetView zoomScalePageLayoutView="0" workbookViewId="0" topLeftCell="A28">
      <selection activeCell="A28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9.375" style="0" customWidth="1"/>
    <col min="4" max="4" width="19.375" style="0" customWidth="1"/>
    <col min="5" max="5" width="18.00390625" style="0" customWidth="1"/>
    <col min="6" max="6" width="0.12890625" style="0" hidden="1" customWidth="1"/>
    <col min="7" max="7" width="5.875" style="0" hidden="1" customWidth="1"/>
    <col min="8" max="8" width="13.25390625" style="0" customWidth="1"/>
  </cols>
  <sheetData>
    <row r="1" spans="1:8" ht="101.25" customHeight="1">
      <c r="A1" s="192" t="s">
        <v>206</v>
      </c>
      <c r="B1" s="192"/>
      <c r="C1" s="192"/>
      <c r="D1" s="192"/>
      <c r="E1" s="192"/>
      <c r="F1" s="192"/>
      <c r="G1" s="192"/>
      <c r="H1" s="192"/>
    </row>
    <row r="2" spans="1:6" ht="18.75">
      <c r="A2" s="1" t="s">
        <v>82</v>
      </c>
      <c r="B2" s="1" t="s">
        <v>86</v>
      </c>
      <c r="C2" s="2"/>
      <c r="D2" s="2" t="s">
        <v>0</v>
      </c>
      <c r="E2" s="26">
        <v>2729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61.5" customHeight="1">
      <c r="A6" s="74" t="s">
        <v>61</v>
      </c>
      <c r="B6" s="240" t="s">
        <v>138</v>
      </c>
      <c r="C6" s="241"/>
      <c r="D6" s="242"/>
      <c r="E6" s="75" t="s">
        <v>6</v>
      </c>
      <c r="F6" s="75" t="s">
        <v>7</v>
      </c>
      <c r="G6" s="116" t="s">
        <v>193</v>
      </c>
      <c r="H6" s="117" t="s">
        <v>132</v>
      </c>
    </row>
    <row r="7" spans="1:8" ht="15.75" customHeight="1">
      <c r="A7" s="76">
        <v>1</v>
      </c>
      <c r="B7" s="243" t="s">
        <v>133</v>
      </c>
      <c r="C7" s="243"/>
      <c r="D7" s="243"/>
      <c r="E7" s="243"/>
      <c r="F7" s="243"/>
      <c r="G7" s="77"/>
      <c r="H7" s="118"/>
    </row>
    <row r="8" spans="1:8" ht="15.75" customHeight="1">
      <c r="A8" s="76"/>
      <c r="B8" s="204" t="s">
        <v>194</v>
      </c>
      <c r="C8" s="204"/>
      <c r="D8" s="204"/>
      <c r="E8" s="204"/>
      <c r="F8" s="204"/>
      <c r="G8" s="23">
        <f>G30</f>
        <v>10.89</v>
      </c>
      <c r="H8" s="118">
        <f>ROUND($E$2*G8*12,0)</f>
        <v>356626</v>
      </c>
    </row>
    <row r="9" spans="1:8" ht="15.75" customHeight="1">
      <c r="A9" s="76"/>
      <c r="B9" s="249" t="s">
        <v>134</v>
      </c>
      <c r="C9" s="249"/>
      <c r="D9" s="249"/>
      <c r="E9" s="249"/>
      <c r="F9" s="249"/>
      <c r="G9" s="22">
        <v>0.78</v>
      </c>
      <c r="H9" s="118">
        <f>ROUND($E$2*G9*12,0)</f>
        <v>25543</v>
      </c>
    </row>
    <row r="10" spans="1:8" ht="18.75" customHeight="1">
      <c r="A10" s="76">
        <v>2</v>
      </c>
      <c r="B10" s="205" t="s">
        <v>74</v>
      </c>
      <c r="C10" s="205"/>
      <c r="D10" s="205"/>
      <c r="E10" s="205"/>
      <c r="F10" s="205"/>
      <c r="G10" s="79"/>
      <c r="H10" s="118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18"/>
    </row>
    <row r="12" spans="1:8" ht="33" customHeight="1">
      <c r="A12" s="119"/>
      <c r="B12" s="248" t="s">
        <v>207</v>
      </c>
      <c r="C12" s="248"/>
      <c r="D12" s="248"/>
      <c r="E12" s="97" t="s">
        <v>32</v>
      </c>
      <c r="F12" s="80" t="s">
        <v>24</v>
      </c>
      <c r="G12" s="81">
        <v>1.09</v>
      </c>
      <c r="H12" s="78">
        <f aca="true" t="shared" si="0" ref="H12:H30">ROUND($E$2*G12*12,0)</f>
        <v>35695</v>
      </c>
    </row>
    <row r="13" spans="1:8" ht="28.5" customHeight="1">
      <c r="A13" s="119"/>
      <c r="B13" s="248" t="s">
        <v>17</v>
      </c>
      <c r="C13" s="248"/>
      <c r="D13" s="248"/>
      <c r="E13" s="97" t="s">
        <v>32</v>
      </c>
      <c r="F13" s="80" t="s">
        <v>19</v>
      </c>
      <c r="G13" s="81">
        <v>0.29</v>
      </c>
      <c r="H13" s="78">
        <f t="shared" si="0"/>
        <v>9497</v>
      </c>
    </row>
    <row r="14" spans="1:8" ht="28.5" customHeight="1">
      <c r="A14" s="119"/>
      <c r="B14" s="247" t="s">
        <v>23</v>
      </c>
      <c r="C14" s="247"/>
      <c r="D14" s="247"/>
      <c r="E14" s="101" t="s">
        <v>150</v>
      </c>
      <c r="F14" s="82" t="s">
        <v>20</v>
      </c>
      <c r="G14" s="81">
        <v>0.4</v>
      </c>
      <c r="H14" s="78">
        <f t="shared" si="0"/>
        <v>13099</v>
      </c>
    </row>
    <row r="15" spans="1:8" ht="28.5" customHeight="1">
      <c r="A15" s="119"/>
      <c r="B15" s="251" t="s">
        <v>31</v>
      </c>
      <c r="C15" s="251"/>
      <c r="D15" s="251"/>
      <c r="E15" s="103" t="s">
        <v>9</v>
      </c>
      <c r="F15" s="83" t="s">
        <v>10</v>
      </c>
      <c r="G15" s="81">
        <v>0.53</v>
      </c>
      <c r="H15" s="78">
        <f t="shared" si="0"/>
        <v>17356</v>
      </c>
    </row>
    <row r="16" spans="1:8" ht="54.75" customHeight="1">
      <c r="A16" s="119"/>
      <c r="B16" s="247" t="s">
        <v>27</v>
      </c>
      <c r="C16" s="247"/>
      <c r="D16" s="247"/>
      <c r="E16" s="101" t="s">
        <v>151</v>
      </c>
      <c r="F16" s="82" t="s">
        <v>25</v>
      </c>
      <c r="G16" s="81">
        <v>0.12</v>
      </c>
      <c r="H16" s="78">
        <f t="shared" si="0"/>
        <v>3930</v>
      </c>
    </row>
    <row r="17" spans="1:8" ht="31.5" customHeight="1">
      <c r="A17" s="119"/>
      <c r="B17" s="247" t="s">
        <v>11</v>
      </c>
      <c r="C17" s="247"/>
      <c r="D17" s="247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33" customHeight="1">
      <c r="A18" s="119"/>
      <c r="B18" s="247" t="s">
        <v>26</v>
      </c>
      <c r="C18" s="250"/>
      <c r="D18" s="250"/>
      <c r="E18" s="104" t="s">
        <v>13</v>
      </c>
      <c r="F18" s="79" t="s">
        <v>196</v>
      </c>
      <c r="G18" s="81">
        <v>0.05</v>
      </c>
      <c r="H18" s="78">
        <f t="shared" si="0"/>
        <v>1637</v>
      </c>
    </row>
    <row r="19" spans="1:8" ht="33" customHeight="1">
      <c r="A19" s="119"/>
      <c r="B19" s="247" t="s">
        <v>152</v>
      </c>
      <c r="C19" s="247"/>
      <c r="D19" s="247"/>
      <c r="E19" s="97" t="s">
        <v>36</v>
      </c>
      <c r="F19" s="82" t="s">
        <v>81</v>
      </c>
      <c r="G19" s="81">
        <v>2.21</v>
      </c>
      <c r="H19" s="78">
        <f t="shared" si="0"/>
        <v>72373</v>
      </c>
    </row>
    <row r="20" spans="1:8" ht="33" customHeight="1">
      <c r="A20" s="119"/>
      <c r="B20" s="248" t="s">
        <v>15</v>
      </c>
      <c r="C20" s="248"/>
      <c r="D20" s="248"/>
      <c r="E20" s="97" t="s">
        <v>136</v>
      </c>
      <c r="F20" s="82" t="s">
        <v>81</v>
      </c>
      <c r="G20" s="81">
        <v>0.45</v>
      </c>
      <c r="H20" s="78">
        <f t="shared" si="0"/>
        <v>14737</v>
      </c>
    </row>
    <row r="21" spans="1:8" ht="38.25" customHeight="1">
      <c r="A21" s="119"/>
      <c r="B21" s="247" t="s">
        <v>37</v>
      </c>
      <c r="C21" s="250"/>
      <c r="D21" s="250"/>
      <c r="E21" s="97" t="s">
        <v>36</v>
      </c>
      <c r="F21" s="82" t="s">
        <v>81</v>
      </c>
      <c r="G21" s="81">
        <f>3.57-G22-G23</f>
        <v>3.27</v>
      </c>
      <c r="H21" s="78">
        <f t="shared" si="0"/>
        <v>107086</v>
      </c>
    </row>
    <row r="22" spans="1:8" ht="31.5" customHeight="1">
      <c r="A22" s="119"/>
      <c r="B22" s="247" t="s">
        <v>197</v>
      </c>
      <c r="C22" s="247"/>
      <c r="D22" s="247"/>
      <c r="E22" s="101" t="s">
        <v>9</v>
      </c>
      <c r="F22" s="82" t="s">
        <v>81</v>
      </c>
      <c r="G22" s="81">
        <v>0.3</v>
      </c>
      <c r="H22" s="78">
        <f t="shared" si="0"/>
        <v>9824</v>
      </c>
    </row>
    <row r="23" spans="1:8" ht="29.25" customHeight="1">
      <c r="A23" s="119"/>
      <c r="B23" s="247" t="s">
        <v>154</v>
      </c>
      <c r="C23" s="247"/>
      <c r="D23" s="247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19"/>
      <c r="B24" s="250" t="s">
        <v>21</v>
      </c>
      <c r="C24" s="250"/>
      <c r="D24" s="250"/>
      <c r="E24" s="97" t="s">
        <v>36</v>
      </c>
      <c r="F24" s="82" t="s">
        <v>81</v>
      </c>
      <c r="G24" s="81">
        <v>1.09</v>
      </c>
      <c r="H24" s="78">
        <f t="shared" si="0"/>
        <v>35695</v>
      </c>
    </row>
    <row r="25" spans="1:8" ht="42" customHeight="1">
      <c r="A25" s="22"/>
      <c r="B25" s="183" t="s">
        <v>155</v>
      </c>
      <c r="C25" s="184"/>
      <c r="D25" s="185"/>
      <c r="E25" s="101" t="s">
        <v>9</v>
      </c>
      <c r="F25" s="82"/>
      <c r="G25" s="81"/>
      <c r="H25" s="78"/>
    </row>
    <row r="26" spans="1:8" ht="25.5">
      <c r="A26" s="22"/>
      <c r="B26" s="183" t="s">
        <v>156</v>
      </c>
      <c r="C26" s="184"/>
      <c r="D26" s="185"/>
      <c r="E26" s="97" t="s">
        <v>36</v>
      </c>
      <c r="F26" s="82"/>
      <c r="G26" s="81"/>
      <c r="H26" s="78"/>
    </row>
    <row r="27" spans="1:8" ht="14.25" customHeight="1">
      <c r="A27" s="119"/>
      <c r="B27" s="186"/>
      <c r="C27" s="181"/>
      <c r="D27" s="182"/>
      <c r="E27" s="97"/>
      <c r="F27" s="82"/>
      <c r="G27" s="81"/>
      <c r="H27" s="78"/>
    </row>
    <row r="28" spans="1:8" ht="15.75">
      <c r="A28" s="119"/>
      <c r="B28" s="244" t="s">
        <v>30</v>
      </c>
      <c r="C28" s="245"/>
      <c r="D28" s="246"/>
      <c r="E28" s="14"/>
      <c r="F28" s="82"/>
      <c r="G28" s="20">
        <f>SUM(G12:G27)</f>
        <v>9.8</v>
      </c>
      <c r="H28" s="78">
        <f t="shared" si="0"/>
        <v>320930</v>
      </c>
    </row>
    <row r="29" spans="1:8" ht="24.75" customHeight="1">
      <c r="A29" s="76" t="s">
        <v>157</v>
      </c>
      <c r="B29" s="222" t="s">
        <v>208</v>
      </c>
      <c r="C29" s="223"/>
      <c r="D29" s="223"/>
      <c r="E29" s="224"/>
      <c r="F29" s="50" t="s">
        <v>137</v>
      </c>
      <c r="G29" s="23">
        <v>1.09</v>
      </c>
      <c r="H29" s="78">
        <v>13200</v>
      </c>
    </row>
    <row r="30" spans="1:8" ht="24.75" customHeight="1">
      <c r="A30" s="76"/>
      <c r="B30" s="236" t="s">
        <v>199</v>
      </c>
      <c r="C30" s="236"/>
      <c r="D30" s="236"/>
      <c r="E30" s="236"/>
      <c r="F30" s="236"/>
      <c r="G30" s="20">
        <f>SUM(G28:G29)</f>
        <v>10.89</v>
      </c>
      <c r="H30" s="120">
        <f t="shared" si="0"/>
        <v>356626</v>
      </c>
    </row>
    <row r="31" spans="1:8" ht="18" customHeight="1" thickBot="1">
      <c r="A31" s="121">
        <v>3</v>
      </c>
      <c r="B31" s="237" t="s">
        <v>209</v>
      </c>
      <c r="C31" s="238"/>
      <c r="D31" s="239"/>
      <c r="E31" s="122"/>
      <c r="F31" s="123" t="s">
        <v>137</v>
      </c>
      <c r="G31" s="84">
        <v>0.78</v>
      </c>
      <c r="H31" s="124">
        <f>ROUND($E$2*G31*12,0)</f>
        <v>25543</v>
      </c>
    </row>
    <row r="32" spans="2:4" ht="54.75" customHeight="1">
      <c r="B32" s="253" t="s">
        <v>210</v>
      </c>
      <c r="C32" s="253"/>
      <c r="D32" s="253"/>
    </row>
    <row r="33" spans="2:5" ht="30.75" customHeight="1">
      <c r="B33" s="33" t="s">
        <v>201</v>
      </c>
      <c r="C33" s="33"/>
      <c r="D33" s="33"/>
      <c r="E33" s="33"/>
    </row>
  </sheetData>
  <sheetProtection/>
  <mergeCells count="27">
    <mergeCell ref="B23:D23"/>
    <mergeCell ref="B24:D24"/>
    <mergeCell ref="B25:D25"/>
    <mergeCell ref="B30:F30"/>
    <mergeCell ref="B31:D31"/>
    <mergeCell ref="B26:D26"/>
    <mergeCell ref="B27:D27"/>
    <mergeCell ref="B28:D28"/>
    <mergeCell ref="B29:E29"/>
    <mergeCell ref="B15:D15"/>
    <mergeCell ref="B16:D16"/>
    <mergeCell ref="B17:D17"/>
    <mergeCell ref="B18:D18"/>
    <mergeCell ref="B19:D19"/>
    <mergeCell ref="B20:D20"/>
    <mergeCell ref="B21:D21"/>
    <mergeCell ref="B22:D22"/>
    <mergeCell ref="B32:D32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H42"/>
  <sheetViews>
    <sheetView zoomScalePageLayoutView="0" workbookViewId="0" topLeftCell="A26">
      <selection activeCell="G19" sqref="G19:G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9.375" style="0" customWidth="1"/>
    <col min="4" max="4" width="16.375" style="0" customWidth="1"/>
    <col min="5" max="5" width="16.25390625" style="0" customWidth="1"/>
    <col min="6" max="6" width="19.25390625" style="0" hidden="1" customWidth="1"/>
    <col min="7" max="8" width="12.75390625" style="0" customWidth="1"/>
  </cols>
  <sheetData>
    <row r="1" spans="4:8" ht="70.5" customHeight="1">
      <c r="D1" s="255" t="s">
        <v>211</v>
      </c>
      <c r="E1" s="255"/>
      <c r="F1" s="255"/>
      <c r="G1" s="255"/>
      <c r="H1" s="255"/>
    </row>
    <row r="4" spans="1:8" ht="20.25" customHeight="1">
      <c r="A4" s="192" t="s">
        <v>212</v>
      </c>
      <c r="B4" s="192"/>
      <c r="C4" s="192"/>
      <c r="D4" s="192"/>
      <c r="E4" s="192"/>
      <c r="F4" s="192"/>
      <c r="G4" s="192"/>
      <c r="H4" s="192"/>
    </row>
    <row r="6" ht="15.75">
      <c r="B6" t="s">
        <v>226</v>
      </c>
    </row>
    <row r="8" spans="1:6" ht="18.75">
      <c r="A8" s="1" t="s">
        <v>82</v>
      </c>
      <c r="B8" s="1" t="s">
        <v>86</v>
      </c>
      <c r="C8" s="2"/>
      <c r="D8" s="2" t="s">
        <v>0</v>
      </c>
      <c r="E8" s="134">
        <v>2723.17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83</v>
      </c>
      <c r="F11" s="2"/>
      <c r="G11" s="2"/>
    </row>
    <row r="12" spans="1:8" ht="94.5">
      <c r="A12" s="74" t="s">
        <v>61</v>
      </c>
      <c r="B12" s="240" t="s">
        <v>138</v>
      </c>
      <c r="C12" s="241"/>
      <c r="D12" s="242"/>
      <c r="E12" s="75" t="s">
        <v>6</v>
      </c>
      <c r="F12" s="75" t="s">
        <v>7</v>
      </c>
      <c r="G12" s="131" t="s">
        <v>215</v>
      </c>
      <c r="H12" s="132" t="s">
        <v>216</v>
      </c>
    </row>
    <row r="13" spans="1:8" ht="25.5">
      <c r="A13" s="125">
        <v>1</v>
      </c>
      <c r="B13" s="230">
        <v>2</v>
      </c>
      <c r="C13" s="231"/>
      <c r="D13" s="259"/>
      <c r="E13" s="128">
        <v>3</v>
      </c>
      <c r="F13" s="126"/>
      <c r="G13" s="129">
        <v>4</v>
      </c>
      <c r="H13" s="130" t="s">
        <v>214</v>
      </c>
    </row>
    <row r="14" spans="1:8" ht="15.75" customHeight="1" hidden="1">
      <c r="A14" s="76">
        <v>1</v>
      </c>
      <c r="B14" s="243" t="s">
        <v>133</v>
      </c>
      <c r="C14" s="243"/>
      <c r="D14" s="243"/>
      <c r="E14" s="243"/>
      <c r="F14" s="243"/>
      <c r="G14" s="77"/>
      <c r="H14" s="118"/>
    </row>
    <row r="15" spans="1:8" ht="15.75" customHeight="1" hidden="1">
      <c r="A15" s="76"/>
      <c r="B15" s="204" t="s">
        <v>194</v>
      </c>
      <c r="C15" s="204"/>
      <c r="D15" s="204"/>
      <c r="E15" s="204"/>
      <c r="F15" s="204"/>
      <c r="G15" s="23">
        <f>G36</f>
        <v>11.21</v>
      </c>
      <c r="H15" s="118">
        <f>ROUND($E$8*G15*12,0)</f>
        <v>366321</v>
      </c>
    </row>
    <row r="16" spans="1:8" ht="15.75" customHeight="1" hidden="1">
      <c r="A16" s="76"/>
      <c r="B16" s="249" t="s">
        <v>134</v>
      </c>
      <c r="C16" s="249"/>
      <c r="D16" s="249"/>
      <c r="E16" s="249"/>
      <c r="F16" s="249"/>
      <c r="G16" s="22">
        <v>0.78</v>
      </c>
      <c r="H16" s="118">
        <f>ROUND($E$8*G16*12,0)</f>
        <v>25489</v>
      </c>
    </row>
    <row r="17" spans="1:8" ht="18.75" customHeight="1">
      <c r="A17" s="76" t="s">
        <v>95</v>
      </c>
      <c r="B17" s="205" t="s">
        <v>74</v>
      </c>
      <c r="C17" s="205"/>
      <c r="D17" s="205"/>
      <c r="E17" s="205"/>
      <c r="F17" s="205"/>
      <c r="G17" s="79"/>
      <c r="H17" s="118"/>
    </row>
    <row r="18" spans="1:8" ht="15.75" customHeight="1">
      <c r="A18" s="76" t="s">
        <v>213</v>
      </c>
      <c r="B18" s="256" t="s">
        <v>75</v>
      </c>
      <c r="C18" s="257"/>
      <c r="D18" s="258"/>
      <c r="E18" s="18"/>
      <c r="F18" s="5"/>
      <c r="G18" s="90"/>
      <c r="H18" s="118"/>
    </row>
    <row r="19" spans="1:8" ht="33" customHeight="1">
      <c r="A19" s="119"/>
      <c r="B19" s="248" t="s">
        <v>207</v>
      </c>
      <c r="C19" s="248"/>
      <c r="D19" s="248"/>
      <c r="E19" s="97" t="s">
        <v>32</v>
      </c>
      <c r="F19" s="80" t="s">
        <v>24</v>
      </c>
      <c r="G19" s="81">
        <v>1.12</v>
      </c>
      <c r="H19" s="78">
        <f>ROUND($E$8*G19*4,0)</f>
        <v>12200</v>
      </c>
    </row>
    <row r="20" spans="1:8" ht="15.75">
      <c r="A20" s="119"/>
      <c r="B20" s="248" t="s">
        <v>17</v>
      </c>
      <c r="C20" s="248"/>
      <c r="D20" s="248"/>
      <c r="E20" s="97" t="s">
        <v>32</v>
      </c>
      <c r="F20" s="80" t="s">
        <v>19</v>
      </c>
      <c r="G20" s="81">
        <v>0.3</v>
      </c>
      <c r="H20" s="78">
        <f aca="true" t="shared" si="0" ref="H20:H37">ROUND($E$8*G20*4,0)</f>
        <v>3268</v>
      </c>
    </row>
    <row r="21" spans="1:8" ht="15.75">
      <c r="A21" s="119"/>
      <c r="B21" s="247" t="s">
        <v>23</v>
      </c>
      <c r="C21" s="247"/>
      <c r="D21" s="247"/>
      <c r="E21" s="101" t="s">
        <v>150</v>
      </c>
      <c r="F21" s="82" t="s">
        <v>20</v>
      </c>
      <c r="G21" s="81">
        <v>0.41</v>
      </c>
      <c r="H21" s="78">
        <f t="shared" si="0"/>
        <v>4466</v>
      </c>
    </row>
    <row r="22" spans="1:8" ht="15.75">
      <c r="A22" s="119"/>
      <c r="B22" s="251" t="s">
        <v>31</v>
      </c>
      <c r="C22" s="251"/>
      <c r="D22" s="251"/>
      <c r="E22" s="103" t="s">
        <v>9</v>
      </c>
      <c r="F22" s="83" t="s">
        <v>10</v>
      </c>
      <c r="G22" s="81">
        <v>0.54</v>
      </c>
      <c r="H22" s="78">
        <f t="shared" si="0"/>
        <v>5882</v>
      </c>
    </row>
    <row r="23" spans="1:8" ht="63.75">
      <c r="A23" s="119"/>
      <c r="B23" s="247" t="s">
        <v>27</v>
      </c>
      <c r="C23" s="247"/>
      <c r="D23" s="247"/>
      <c r="E23" s="101" t="s">
        <v>151</v>
      </c>
      <c r="F23" s="82" t="s">
        <v>25</v>
      </c>
      <c r="G23" s="81">
        <v>0.13</v>
      </c>
      <c r="H23" s="78">
        <f t="shared" si="0"/>
        <v>1416</v>
      </c>
    </row>
    <row r="24" spans="1:8" ht="31.5">
      <c r="A24" s="119"/>
      <c r="B24" s="247" t="s">
        <v>11</v>
      </c>
      <c r="C24" s="247"/>
      <c r="D24" s="247"/>
      <c r="E24" s="101" t="s">
        <v>9</v>
      </c>
      <c r="F24" s="82" t="s">
        <v>12</v>
      </c>
      <c r="G24" s="127">
        <v>0</v>
      </c>
      <c r="H24" s="78">
        <f t="shared" si="0"/>
        <v>0</v>
      </c>
    </row>
    <row r="25" spans="1:8" ht="15.75">
      <c r="A25" s="119"/>
      <c r="B25" s="247" t="s">
        <v>26</v>
      </c>
      <c r="C25" s="250"/>
      <c r="D25" s="250"/>
      <c r="E25" s="104" t="s">
        <v>13</v>
      </c>
      <c r="F25" s="79" t="s">
        <v>196</v>
      </c>
      <c r="G25" s="81">
        <v>0.05</v>
      </c>
      <c r="H25" s="78">
        <f t="shared" si="0"/>
        <v>545</v>
      </c>
    </row>
    <row r="26" spans="1:8" ht="51">
      <c r="A26" s="119"/>
      <c r="B26" s="247" t="s">
        <v>152</v>
      </c>
      <c r="C26" s="247"/>
      <c r="D26" s="247"/>
      <c r="E26" s="97" t="s">
        <v>217</v>
      </c>
      <c r="F26" s="82" t="s">
        <v>81</v>
      </c>
      <c r="G26" s="81">
        <v>1.63</v>
      </c>
      <c r="H26" s="78">
        <f t="shared" si="0"/>
        <v>17755</v>
      </c>
    </row>
    <row r="27" spans="1:8" ht="51">
      <c r="A27" s="119"/>
      <c r="B27" s="248" t="s">
        <v>15</v>
      </c>
      <c r="C27" s="248"/>
      <c r="D27" s="248"/>
      <c r="E27" s="97" t="s">
        <v>136</v>
      </c>
      <c r="F27" s="82" t="s">
        <v>81</v>
      </c>
      <c r="G27" s="81">
        <v>0.47</v>
      </c>
      <c r="H27" s="78">
        <f t="shared" si="0"/>
        <v>5120</v>
      </c>
    </row>
    <row r="28" spans="1:8" ht="28.5" customHeight="1">
      <c r="A28" s="119"/>
      <c r="B28" s="247" t="s">
        <v>37</v>
      </c>
      <c r="C28" s="250"/>
      <c r="D28" s="250"/>
      <c r="E28" s="97" t="s">
        <v>36</v>
      </c>
      <c r="F28" s="82" t="s">
        <v>81</v>
      </c>
      <c r="G28" s="81">
        <f>4.32-G29-G30</f>
        <v>4.010000000000001</v>
      </c>
      <c r="H28" s="78">
        <f t="shared" si="0"/>
        <v>43680</v>
      </c>
    </row>
    <row r="29" spans="1:8" ht="15.75">
      <c r="A29" s="119"/>
      <c r="B29" s="247" t="s">
        <v>197</v>
      </c>
      <c r="C29" s="247"/>
      <c r="D29" s="247"/>
      <c r="E29" s="101" t="s">
        <v>9</v>
      </c>
      <c r="F29" s="82" t="s">
        <v>81</v>
      </c>
      <c r="G29" s="81">
        <v>0.31</v>
      </c>
      <c r="H29" s="78">
        <f t="shared" si="0"/>
        <v>3377</v>
      </c>
    </row>
    <row r="30" spans="1:8" ht="15.75">
      <c r="A30" s="119"/>
      <c r="B30" s="247" t="s">
        <v>154</v>
      </c>
      <c r="C30" s="247"/>
      <c r="D30" s="247"/>
      <c r="E30" s="101" t="s">
        <v>9</v>
      </c>
      <c r="F30" s="82" t="s">
        <v>81</v>
      </c>
      <c r="G30" s="127">
        <v>0</v>
      </c>
      <c r="H30" s="78">
        <f t="shared" si="0"/>
        <v>0</v>
      </c>
    </row>
    <row r="31" spans="1:8" ht="25.5">
      <c r="A31" s="119"/>
      <c r="B31" s="250" t="s">
        <v>21</v>
      </c>
      <c r="C31" s="250"/>
      <c r="D31" s="250"/>
      <c r="E31" s="97" t="s">
        <v>36</v>
      </c>
      <c r="F31" s="82" t="s">
        <v>81</v>
      </c>
      <c r="G31" s="81">
        <v>1.12</v>
      </c>
      <c r="H31" s="78">
        <f t="shared" si="0"/>
        <v>12200</v>
      </c>
    </row>
    <row r="32" spans="1:8" ht="15.75" hidden="1">
      <c r="A32" s="22"/>
      <c r="B32" s="183" t="s">
        <v>155</v>
      </c>
      <c r="C32" s="184"/>
      <c r="D32" s="185"/>
      <c r="E32" s="101" t="s">
        <v>9</v>
      </c>
      <c r="F32" s="82"/>
      <c r="G32" s="81"/>
      <c r="H32" s="78">
        <f t="shared" si="0"/>
        <v>0</v>
      </c>
    </row>
    <row r="33" spans="1:8" ht="25.5" hidden="1">
      <c r="A33" s="22"/>
      <c r="B33" s="183" t="s">
        <v>156</v>
      </c>
      <c r="C33" s="184"/>
      <c r="D33" s="185"/>
      <c r="E33" s="97" t="s">
        <v>36</v>
      </c>
      <c r="F33" s="82"/>
      <c r="G33" s="81"/>
      <c r="H33" s="78">
        <f t="shared" si="0"/>
        <v>0</v>
      </c>
    </row>
    <row r="34" spans="1:8" ht="15.75">
      <c r="A34" s="119"/>
      <c r="B34" s="244" t="s">
        <v>30</v>
      </c>
      <c r="C34" s="245"/>
      <c r="D34" s="246"/>
      <c r="E34" s="14"/>
      <c r="F34" s="82"/>
      <c r="G34" s="20">
        <f>SUM(G19:G33)</f>
        <v>10.09</v>
      </c>
      <c r="H34" s="78">
        <f t="shared" si="0"/>
        <v>109907</v>
      </c>
    </row>
    <row r="35" spans="1:8" ht="15.75" customHeight="1">
      <c r="A35" s="76" t="s">
        <v>219</v>
      </c>
      <c r="B35" s="222" t="s">
        <v>208</v>
      </c>
      <c r="C35" s="223"/>
      <c r="D35" s="224"/>
      <c r="E35" s="101" t="s">
        <v>218</v>
      </c>
      <c r="F35" s="50" t="s">
        <v>137</v>
      </c>
      <c r="G35" s="23">
        <v>1.12</v>
      </c>
      <c r="H35" s="78">
        <f t="shared" si="0"/>
        <v>12200</v>
      </c>
    </row>
    <row r="36" spans="1:8" ht="15.75">
      <c r="A36" s="76" t="s">
        <v>220</v>
      </c>
      <c r="B36" s="236" t="s">
        <v>199</v>
      </c>
      <c r="C36" s="236"/>
      <c r="D36" s="236"/>
      <c r="E36" s="236"/>
      <c r="F36" s="236"/>
      <c r="G36" s="20">
        <f>SUM(G34:G35)</f>
        <v>11.21</v>
      </c>
      <c r="H36" s="78">
        <f t="shared" si="0"/>
        <v>122107</v>
      </c>
    </row>
    <row r="37" spans="1:8" ht="16.5" thickBot="1">
      <c r="A37" s="121" t="s">
        <v>98</v>
      </c>
      <c r="B37" s="237" t="s">
        <v>209</v>
      </c>
      <c r="C37" s="238"/>
      <c r="D37" s="239"/>
      <c r="E37" s="133" t="s">
        <v>218</v>
      </c>
      <c r="F37" s="123" t="s">
        <v>137</v>
      </c>
      <c r="G37" s="135">
        <v>0.8</v>
      </c>
      <c r="H37" s="136">
        <f t="shared" si="0"/>
        <v>8714</v>
      </c>
    </row>
    <row r="38" spans="2:5" ht="15.75" customHeight="1">
      <c r="B38" s="254" t="s">
        <v>221</v>
      </c>
      <c r="C38" s="254"/>
      <c r="D38" s="254"/>
      <c r="E38" s="254"/>
    </row>
    <row r="39" spans="2:5" ht="15.75">
      <c r="B39" s="33"/>
      <c r="C39" s="33"/>
      <c r="D39" s="33"/>
      <c r="E39" s="33"/>
    </row>
    <row r="40" spans="2:7" ht="15.75">
      <c r="B40" s="33" t="s">
        <v>222</v>
      </c>
      <c r="C40" s="33"/>
      <c r="D40" s="33"/>
      <c r="E40" s="33" t="s">
        <v>223</v>
      </c>
      <c r="F40" s="33"/>
      <c r="G40" s="33"/>
    </row>
    <row r="41" spans="2:7" ht="15.75">
      <c r="B41" s="33"/>
      <c r="C41" s="33"/>
      <c r="D41" s="33"/>
      <c r="E41" s="33"/>
      <c r="F41" s="33"/>
      <c r="G41" s="33"/>
    </row>
    <row r="42" spans="2:7" ht="15.75">
      <c r="B42" s="33" t="s">
        <v>224</v>
      </c>
      <c r="C42" s="33"/>
      <c r="D42" s="33"/>
      <c r="E42" s="33" t="s">
        <v>225</v>
      </c>
      <c r="F42" s="33"/>
      <c r="G42" s="33"/>
    </row>
  </sheetData>
  <sheetProtection/>
  <mergeCells count="29">
    <mergeCell ref="B32:D32"/>
    <mergeCell ref="B31:D31"/>
    <mergeCell ref="B21:D21"/>
    <mergeCell ref="B17:F17"/>
    <mergeCell ref="B19:D19"/>
    <mergeCell ref="B20:D20"/>
    <mergeCell ref="B30:D30"/>
    <mergeCell ref="B27:D27"/>
    <mergeCell ref="B28:D28"/>
    <mergeCell ref="B29:D29"/>
    <mergeCell ref="B26:D26"/>
    <mergeCell ref="B22:D22"/>
    <mergeCell ref="B23:D23"/>
    <mergeCell ref="B24:D24"/>
    <mergeCell ref="B25:D25"/>
    <mergeCell ref="D1:H1"/>
    <mergeCell ref="A4:H4"/>
    <mergeCell ref="B18:D18"/>
    <mergeCell ref="B13:D13"/>
    <mergeCell ref="B16:F16"/>
    <mergeCell ref="B12:D12"/>
    <mergeCell ref="B14:F14"/>
    <mergeCell ref="B15:F15"/>
    <mergeCell ref="B37:D37"/>
    <mergeCell ref="B38:E38"/>
    <mergeCell ref="B33:D33"/>
    <mergeCell ref="B34:D34"/>
    <mergeCell ref="B35:D35"/>
    <mergeCell ref="B36:F3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J36"/>
  <sheetViews>
    <sheetView zoomScalePageLayoutView="0" workbookViewId="0" topLeftCell="A4">
      <selection activeCell="G15" sqref="G15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92" t="s">
        <v>239</v>
      </c>
      <c r="B1" s="192"/>
      <c r="C1" s="192"/>
      <c r="D1" s="192"/>
      <c r="E1" s="192"/>
      <c r="F1" s="192"/>
      <c r="G1" s="192"/>
      <c r="H1" s="192"/>
      <c r="I1" s="192"/>
    </row>
    <row r="2" spans="1:9" ht="20.25">
      <c r="A2" s="137"/>
      <c r="B2" s="137"/>
      <c r="C2" s="137"/>
      <c r="D2" s="137"/>
      <c r="E2" s="137"/>
      <c r="F2" s="137"/>
      <c r="G2" s="137"/>
      <c r="H2" s="137"/>
      <c r="I2" s="137"/>
    </row>
    <row r="3" spans="1:9" ht="20.25">
      <c r="A3" s="137"/>
      <c r="B3" s="137"/>
      <c r="C3" s="137"/>
      <c r="D3" s="137"/>
      <c r="E3" s="137"/>
      <c r="F3" s="137"/>
      <c r="G3" s="137"/>
      <c r="H3" s="137"/>
      <c r="I3" s="137"/>
    </row>
    <row r="4" spans="1:6" ht="47.25">
      <c r="A4" s="1" t="s">
        <v>82</v>
      </c>
      <c r="B4" s="1" t="s">
        <v>86</v>
      </c>
      <c r="C4" s="2"/>
      <c r="D4" s="138" t="s">
        <v>227</v>
      </c>
      <c r="E4" s="134">
        <v>2723.17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89.25">
      <c r="A8" s="74" t="s">
        <v>61</v>
      </c>
      <c r="B8" s="240" t="s">
        <v>138</v>
      </c>
      <c r="C8" s="241"/>
      <c r="D8" s="242"/>
      <c r="E8" s="75" t="s">
        <v>6</v>
      </c>
      <c r="F8" s="75" t="s">
        <v>7</v>
      </c>
      <c r="G8" s="116" t="s">
        <v>228</v>
      </c>
      <c r="H8" s="116" t="s">
        <v>229</v>
      </c>
      <c r="I8" s="117" t="s">
        <v>230</v>
      </c>
    </row>
    <row r="9" spans="1:9" ht="38.25">
      <c r="A9" s="125">
        <v>1</v>
      </c>
      <c r="B9" s="230">
        <v>2</v>
      </c>
      <c r="C9" s="231"/>
      <c r="D9" s="259"/>
      <c r="E9" s="128">
        <v>3</v>
      </c>
      <c r="F9" s="128">
        <v>3</v>
      </c>
      <c r="G9" s="128">
        <v>4</v>
      </c>
      <c r="H9" s="128">
        <v>5</v>
      </c>
      <c r="I9" s="130" t="s">
        <v>231</v>
      </c>
    </row>
    <row r="10" spans="1:9" ht="15.75" customHeight="1">
      <c r="A10" s="76">
        <v>1</v>
      </c>
      <c r="B10" s="243" t="s">
        <v>133</v>
      </c>
      <c r="C10" s="243"/>
      <c r="D10" s="243"/>
      <c r="E10" s="243"/>
      <c r="F10" s="243"/>
      <c r="G10" s="77"/>
      <c r="H10" s="139"/>
      <c r="I10" s="118"/>
    </row>
    <row r="11" spans="1:9" ht="15.75" customHeight="1">
      <c r="A11" s="76"/>
      <c r="B11" s="204" t="s">
        <v>194</v>
      </c>
      <c r="C11" s="204"/>
      <c r="D11" s="204"/>
      <c r="E11" s="204"/>
      <c r="F11" s="204"/>
      <c r="G11" s="23">
        <f>G32</f>
        <v>10.91</v>
      </c>
      <c r="H11" s="23">
        <f>H32</f>
        <v>11.62</v>
      </c>
      <c r="I11" s="78">
        <f>ROUND($E$4*G11*6,0)+ROUND($E$4*H11*6,0)</f>
        <v>368118</v>
      </c>
    </row>
    <row r="12" spans="1:9" ht="15.75" customHeight="1">
      <c r="A12" s="76"/>
      <c r="B12" s="249" t="s">
        <v>134</v>
      </c>
      <c r="C12" s="249"/>
      <c r="D12" s="249"/>
      <c r="E12" s="249"/>
      <c r="F12" s="249"/>
      <c r="G12" s="23">
        <f>G33</f>
        <v>0.8</v>
      </c>
      <c r="H12" s="23">
        <f>H33</f>
        <v>0.85</v>
      </c>
      <c r="I12" s="78">
        <f>ROUND($E$4*G12*6,0)+ROUND($E$4*H12*6,0)</f>
        <v>26959</v>
      </c>
    </row>
    <row r="13" spans="1:9" ht="15.75" customHeight="1">
      <c r="A13" s="76">
        <v>2</v>
      </c>
      <c r="B13" s="267" t="s">
        <v>74</v>
      </c>
      <c r="C13" s="268"/>
      <c r="D13" s="268"/>
      <c r="E13" s="268"/>
      <c r="F13" s="269"/>
      <c r="G13" s="9"/>
      <c r="H13" s="140"/>
      <c r="I13" s="78"/>
    </row>
    <row r="14" spans="1:9" ht="18.75" customHeight="1">
      <c r="A14" s="76" t="s">
        <v>213</v>
      </c>
      <c r="B14" s="18" t="s">
        <v>75</v>
      </c>
      <c r="C14" s="18"/>
      <c r="D14" s="18"/>
      <c r="E14" s="18"/>
      <c r="F14" s="5"/>
      <c r="G14" s="90"/>
      <c r="H14" s="141"/>
      <c r="I14" s="78"/>
    </row>
    <row r="15" spans="1:9" ht="29.25" customHeight="1">
      <c r="A15" s="119"/>
      <c r="B15" s="270" t="s">
        <v>232</v>
      </c>
      <c r="C15" s="266"/>
      <c r="D15" s="266"/>
      <c r="E15" s="97" t="s">
        <v>32</v>
      </c>
      <c r="F15" s="6" t="s">
        <v>24</v>
      </c>
      <c r="G15" s="81">
        <v>1.12</v>
      </c>
      <c r="H15" s="142">
        <v>1.19</v>
      </c>
      <c r="I15" s="78">
        <f>ROUND($E$4*G15*6,0)+ROUND($E$4*H15*6,0)</f>
        <v>37743</v>
      </c>
    </row>
    <row r="16" spans="1:10" ht="15.75" customHeight="1">
      <c r="A16" s="119"/>
      <c r="B16" s="266" t="s">
        <v>17</v>
      </c>
      <c r="C16" s="266"/>
      <c r="D16" s="266"/>
      <c r="E16" s="97" t="s">
        <v>32</v>
      </c>
      <c r="F16" s="6" t="s">
        <v>19</v>
      </c>
      <c r="G16" s="81">
        <v>0.3</v>
      </c>
      <c r="H16" s="142">
        <v>0.32</v>
      </c>
      <c r="I16" s="78">
        <f aca="true" t="shared" si="0" ref="I16:I33">ROUND($E$4*G16*6,0)+ROUND($E$4*H16*6,0)</f>
        <v>10130</v>
      </c>
      <c r="J16" s="115"/>
    </row>
    <row r="17" spans="1:9" ht="18.75" customHeight="1">
      <c r="A17" s="119"/>
      <c r="B17" s="261" t="s">
        <v>233</v>
      </c>
      <c r="C17" s="261"/>
      <c r="D17" s="261"/>
      <c r="E17" s="101" t="s">
        <v>150</v>
      </c>
      <c r="F17" s="7" t="s">
        <v>20</v>
      </c>
      <c r="G17" s="81">
        <v>0.11</v>
      </c>
      <c r="H17" s="142">
        <v>0.12</v>
      </c>
      <c r="I17" s="78">
        <f t="shared" si="0"/>
        <v>3758</v>
      </c>
    </row>
    <row r="18" spans="1:9" ht="15.75" customHeight="1">
      <c r="A18" s="119"/>
      <c r="B18" s="271" t="s">
        <v>31</v>
      </c>
      <c r="C18" s="271"/>
      <c r="D18" s="271"/>
      <c r="E18" s="103" t="s">
        <v>9</v>
      </c>
      <c r="F18" s="8" t="s">
        <v>10</v>
      </c>
      <c r="G18" s="81">
        <v>0.54</v>
      </c>
      <c r="H18" s="142">
        <v>0.58</v>
      </c>
      <c r="I18" s="78">
        <f t="shared" si="0"/>
        <v>18300</v>
      </c>
    </row>
    <row r="19" spans="1:9" ht="51" customHeight="1">
      <c r="A19" s="119"/>
      <c r="B19" s="261" t="s">
        <v>27</v>
      </c>
      <c r="C19" s="261"/>
      <c r="D19" s="261"/>
      <c r="E19" s="101" t="s">
        <v>151</v>
      </c>
      <c r="F19" s="7" t="s">
        <v>25</v>
      </c>
      <c r="G19" s="81">
        <v>0.13</v>
      </c>
      <c r="H19" s="142">
        <v>0.14</v>
      </c>
      <c r="I19" s="78">
        <f t="shared" si="0"/>
        <v>4411</v>
      </c>
    </row>
    <row r="20" spans="1:9" ht="37.5" customHeight="1">
      <c r="A20" s="119"/>
      <c r="B20" s="261" t="s">
        <v>11</v>
      </c>
      <c r="C20" s="261"/>
      <c r="D20" s="261"/>
      <c r="E20" s="101" t="s">
        <v>9</v>
      </c>
      <c r="F20" s="7" t="s">
        <v>12</v>
      </c>
      <c r="G20" s="127">
        <v>0</v>
      </c>
      <c r="H20" s="142">
        <v>0</v>
      </c>
      <c r="I20" s="78">
        <f t="shared" si="0"/>
        <v>0</v>
      </c>
    </row>
    <row r="21" spans="1:9" ht="21" customHeight="1">
      <c r="A21" s="119"/>
      <c r="B21" s="261" t="s">
        <v>26</v>
      </c>
      <c r="C21" s="262"/>
      <c r="D21" s="262"/>
      <c r="E21" s="104" t="s">
        <v>13</v>
      </c>
      <c r="F21" s="9" t="s">
        <v>196</v>
      </c>
      <c r="G21" s="81">
        <v>0.05</v>
      </c>
      <c r="H21" s="142">
        <v>0.05</v>
      </c>
      <c r="I21" s="78">
        <f t="shared" si="0"/>
        <v>1634</v>
      </c>
    </row>
    <row r="22" spans="1:9" ht="51">
      <c r="A22" s="119"/>
      <c r="B22" s="261" t="s">
        <v>152</v>
      </c>
      <c r="C22" s="261"/>
      <c r="D22" s="261"/>
      <c r="E22" s="97" t="s">
        <v>217</v>
      </c>
      <c r="F22" s="7" t="s">
        <v>81</v>
      </c>
      <c r="G22" s="81">
        <v>1.63</v>
      </c>
      <c r="H22" s="142">
        <v>1.74</v>
      </c>
      <c r="I22" s="78">
        <f t="shared" si="0"/>
        <v>55063</v>
      </c>
    </row>
    <row r="23" spans="1:9" ht="55.5" customHeight="1">
      <c r="A23" s="119"/>
      <c r="B23" s="266" t="s">
        <v>15</v>
      </c>
      <c r="C23" s="266"/>
      <c r="D23" s="266"/>
      <c r="E23" s="97" t="s">
        <v>136</v>
      </c>
      <c r="F23" s="7" t="s">
        <v>81</v>
      </c>
      <c r="G23" s="81">
        <v>0.47</v>
      </c>
      <c r="H23" s="142">
        <v>0.5</v>
      </c>
      <c r="I23" s="78">
        <f t="shared" si="0"/>
        <v>15849</v>
      </c>
    </row>
    <row r="24" spans="1:9" ht="28.5" customHeight="1">
      <c r="A24" s="119"/>
      <c r="B24" s="261" t="s">
        <v>234</v>
      </c>
      <c r="C24" s="262"/>
      <c r="D24" s="262"/>
      <c r="E24" s="97" t="s">
        <v>36</v>
      </c>
      <c r="F24" s="7" t="s">
        <v>81</v>
      </c>
      <c r="G24" s="81">
        <f>4.32-G25-G26</f>
        <v>4.010000000000001</v>
      </c>
      <c r="H24" s="12">
        <f>4.6-H25-H26</f>
        <v>4.27</v>
      </c>
      <c r="I24" s="78">
        <f t="shared" si="0"/>
        <v>135287</v>
      </c>
    </row>
    <row r="25" spans="1:9" ht="15.75" customHeight="1">
      <c r="A25" s="119"/>
      <c r="B25" s="261" t="s">
        <v>197</v>
      </c>
      <c r="C25" s="261"/>
      <c r="D25" s="261"/>
      <c r="E25" s="101" t="s">
        <v>9</v>
      </c>
      <c r="F25" s="7" t="s">
        <v>81</v>
      </c>
      <c r="G25" s="81">
        <v>0.31</v>
      </c>
      <c r="H25" s="142">
        <v>0.33</v>
      </c>
      <c r="I25" s="78">
        <f t="shared" si="0"/>
        <v>10457</v>
      </c>
    </row>
    <row r="26" spans="1:9" ht="21.75" customHeight="1">
      <c r="A26" s="119"/>
      <c r="B26" s="261" t="s">
        <v>154</v>
      </c>
      <c r="C26" s="261"/>
      <c r="D26" s="261"/>
      <c r="E26" s="101" t="s">
        <v>9</v>
      </c>
      <c r="F26" s="7" t="s">
        <v>81</v>
      </c>
      <c r="G26" s="127">
        <v>0</v>
      </c>
      <c r="H26" s="142">
        <v>0</v>
      </c>
      <c r="I26" s="78">
        <f t="shared" si="0"/>
        <v>0</v>
      </c>
    </row>
    <row r="27" spans="1:9" ht="25.5">
      <c r="A27" s="119"/>
      <c r="B27" s="262" t="s">
        <v>235</v>
      </c>
      <c r="C27" s="262"/>
      <c r="D27" s="262"/>
      <c r="E27" s="97" t="s">
        <v>36</v>
      </c>
      <c r="F27" s="7" t="s">
        <v>81</v>
      </c>
      <c r="G27" s="81">
        <v>1.12</v>
      </c>
      <c r="H27" s="142">
        <v>1.19</v>
      </c>
      <c r="I27" s="78">
        <f t="shared" si="0"/>
        <v>37743</v>
      </c>
    </row>
    <row r="28" spans="1:9" ht="15.75" customHeight="1" hidden="1">
      <c r="A28" s="22"/>
      <c r="B28" s="263" t="s">
        <v>155</v>
      </c>
      <c r="C28" s="264"/>
      <c r="D28" s="265"/>
      <c r="E28" s="101" t="s">
        <v>9</v>
      </c>
      <c r="F28" s="7"/>
      <c r="G28" s="81"/>
      <c r="H28" s="142"/>
      <c r="I28" s="78">
        <f t="shared" si="0"/>
        <v>0</v>
      </c>
    </row>
    <row r="29" spans="1:9" ht="25.5" hidden="1">
      <c r="A29" s="22"/>
      <c r="B29" s="263" t="s">
        <v>156</v>
      </c>
      <c r="C29" s="264"/>
      <c r="D29" s="265"/>
      <c r="E29" s="97" t="s">
        <v>36</v>
      </c>
      <c r="F29" s="7"/>
      <c r="G29" s="81"/>
      <c r="H29" s="142"/>
      <c r="I29" s="78">
        <f t="shared" si="0"/>
        <v>0</v>
      </c>
    </row>
    <row r="30" spans="1:9" ht="15.75" customHeight="1">
      <c r="A30" s="119"/>
      <c r="B30" s="244" t="s">
        <v>30</v>
      </c>
      <c r="C30" s="245"/>
      <c r="D30" s="246"/>
      <c r="E30" s="14"/>
      <c r="F30" s="7"/>
      <c r="G30" s="20">
        <f>SUM(G15:G29)</f>
        <v>9.79</v>
      </c>
      <c r="H30" s="20">
        <f>SUM(H15:H29)</f>
        <v>10.43</v>
      </c>
      <c r="I30" s="78">
        <f t="shared" si="0"/>
        <v>330375</v>
      </c>
    </row>
    <row r="31" spans="1:9" ht="21" customHeight="1">
      <c r="A31" s="76" t="s">
        <v>219</v>
      </c>
      <c r="B31" s="222" t="s">
        <v>208</v>
      </c>
      <c r="C31" s="223"/>
      <c r="D31" s="223"/>
      <c r="E31" s="143" t="s">
        <v>218</v>
      </c>
      <c r="F31" s="50" t="s">
        <v>137</v>
      </c>
      <c r="G31" s="23">
        <v>1.12</v>
      </c>
      <c r="H31" s="23">
        <v>1.19</v>
      </c>
      <c r="I31" s="78">
        <f t="shared" si="0"/>
        <v>37743</v>
      </c>
    </row>
    <row r="32" spans="1:9" ht="15.75" customHeight="1">
      <c r="A32" s="76" t="s">
        <v>220</v>
      </c>
      <c r="B32" s="236" t="s">
        <v>199</v>
      </c>
      <c r="C32" s="236"/>
      <c r="D32" s="236"/>
      <c r="E32" s="236"/>
      <c r="F32" s="236"/>
      <c r="G32" s="20">
        <f>SUM(G30:G31)</f>
        <v>10.91</v>
      </c>
      <c r="H32" s="20">
        <f>SUM(H30:H31)</f>
        <v>11.62</v>
      </c>
      <c r="I32" s="78">
        <f t="shared" si="0"/>
        <v>368118</v>
      </c>
    </row>
    <row r="33" spans="1:9" ht="24" customHeight="1" thickBot="1">
      <c r="A33" s="121" t="s">
        <v>98</v>
      </c>
      <c r="B33" s="237" t="s">
        <v>236</v>
      </c>
      <c r="C33" s="238"/>
      <c r="D33" s="239"/>
      <c r="E33" s="144" t="s">
        <v>218</v>
      </c>
      <c r="F33" s="145" t="s">
        <v>137</v>
      </c>
      <c r="G33" s="135">
        <v>0.8</v>
      </c>
      <c r="H33" s="135">
        <v>0.85</v>
      </c>
      <c r="I33" s="136">
        <f t="shared" si="0"/>
        <v>26959</v>
      </c>
    </row>
    <row r="34" spans="2:9" ht="59.25" customHeight="1">
      <c r="B34" s="260" t="s">
        <v>237</v>
      </c>
      <c r="C34" s="260"/>
      <c r="D34" s="260"/>
      <c r="E34" s="260"/>
      <c r="G34" s="146"/>
      <c r="H34" s="114"/>
      <c r="I34" s="147"/>
    </row>
    <row r="35" spans="2:9" ht="24.75" customHeight="1">
      <c r="B35" s="148"/>
      <c r="C35" s="148"/>
      <c r="D35" s="148"/>
      <c r="E35" s="148"/>
      <c r="G35" s="114"/>
      <c r="H35" s="114"/>
      <c r="I35" s="147"/>
    </row>
    <row r="36" spans="1:9" ht="15.75" customHeight="1">
      <c r="A36" s="72" t="s">
        <v>238</v>
      </c>
      <c r="B36" s="72"/>
      <c r="C36" s="72"/>
      <c r="D36" s="33"/>
      <c r="G36" s="114"/>
      <c r="H36" s="114"/>
      <c r="I36" s="147"/>
    </row>
  </sheetData>
  <sheetProtection/>
  <mergeCells count="27">
    <mergeCell ref="B11:F11"/>
    <mergeCell ref="B12:F12"/>
    <mergeCell ref="A1:I1"/>
    <mergeCell ref="B8:D8"/>
    <mergeCell ref="B9:D9"/>
    <mergeCell ref="B10:F10"/>
    <mergeCell ref="B18:D18"/>
    <mergeCell ref="B19:D19"/>
    <mergeCell ref="B20:D20"/>
    <mergeCell ref="B21:D21"/>
    <mergeCell ref="B13:F13"/>
    <mergeCell ref="B15:D15"/>
    <mergeCell ref="B16:D16"/>
    <mergeCell ref="B17:D17"/>
    <mergeCell ref="B22:D22"/>
    <mergeCell ref="B23:D23"/>
    <mergeCell ref="B32:F32"/>
    <mergeCell ref="B33:D33"/>
    <mergeCell ref="B24:D24"/>
    <mergeCell ref="B25:D25"/>
    <mergeCell ref="B34:E34"/>
    <mergeCell ref="B26:D26"/>
    <mergeCell ref="B27:D27"/>
    <mergeCell ref="B28:D28"/>
    <mergeCell ref="B29:D29"/>
    <mergeCell ref="B30:D30"/>
    <mergeCell ref="B31:D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L47"/>
  <sheetViews>
    <sheetView tabSelected="1" workbookViewId="0" topLeftCell="A1">
      <selection activeCell="G3" sqref="G1:I16384"/>
    </sheetView>
  </sheetViews>
  <sheetFormatPr defaultColWidth="9.00390625" defaultRowHeight="15.75"/>
  <cols>
    <col min="1" max="1" width="4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8.00390625" style="0" customWidth="1"/>
    <col min="6" max="6" width="0.12890625" style="0" customWidth="1"/>
    <col min="7" max="7" width="9.375" style="0" hidden="1" customWidth="1"/>
    <col min="8" max="8" width="10.375" style="0" hidden="1" customWidth="1"/>
    <col min="9" max="9" width="11.625" style="0" hidden="1" customWidth="1"/>
    <col min="10" max="10" width="26.00390625" style="114" customWidth="1"/>
    <col min="11" max="12" width="9.00390625" style="0" hidden="1" customWidth="1"/>
  </cols>
  <sheetData>
    <row r="1" spans="1:10" ht="110.25" customHeight="1">
      <c r="A1" s="192" t="s">
        <v>246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54" customHeight="1">
      <c r="A2" s="229" t="s">
        <v>240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31.5">
      <c r="A3" s="1" t="s">
        <v>82</v>
      </c>
      <c r="B3" s="1" t="s">
        <v>86</v>
      </c>
      <c r="C3" s="2"/>
      <c r="D3" s="138" t="s">
        <v>227</v>
      </c>
      <c r="E3" s="134">
        <v>2723.17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2" ht="46.5" customHeight="1">
      <c r="A7" s="21" t="s">
        <v>61</v>
      </c>
      <c r="B7" s="230" t="s">
        <v>138</v>
      </c>
      <c r="C7" s="231"/>
      <c r="D7" s="232"/>
      <c r="E7" s="11" t="s">
        <v>6</v>
      </c>
      <c r="F7" s="11" t="s">
        <v>7</v>
      </c>
      <c r="G7" s="150" t="s">
        <v>256</v>
      </c>
      <c r="H7" s="233" t="s">
        <v>255</v>
      </c>
      <c r="I7" s="234"/>
      <c r="J7" s="235"/>
      <c r="K7" s="56">
        <v>4</v>
      </c>
      <c r="L7" s="151" t="s">
        <v>241</v>
      </c>
    </row>
    <row r="8" spans="1:10" ht="15.75">
      <c r="A8" s="22">
        <v>1</v>
      </c>
      <c r="B8" s="208"/>
      <c r="C8" s="209"/>
      <c r="D8" s="209"/>
      <c r="E8" s="209"/>
      <c r="F8" s="210"/>
      <c r="G8" s="152"/>
      <c r="H8" s="153" t="s">
        <v>140</v>
      </c>
      <c r="I8" s="89" t="s">
        <v>141</v>
      </c>
      <c r="J8" s="89" t="s">
        <v>142</v>
      </c>
    </row>
    <row r="9" spans="1:10" ht="15.75">
      <c r="A9" s="22"/>
      <c r="B9" s="208" t="s">
        <v>143</v>
      </c>
      <c r="C9" s="209"/>
      <c r="D9" s="209"/>
      <c r="E9" s="209"/>
      <c r="F9" s="210"/>
      <c r="G9" s="57"/>
      <c r="H9" s="57"/>
      <c r="I9" s="57"/>
      <c r="J9" s="89"/>
    </row>
    <row r="10" spans="1:10" ht="15.75">
      <c r="A10" s="91"/>
      <c r="B10" s="203" t="s">
        <v>144</v>
      </c>
      <c r="C10" s="203"/>
      <c r="D10" s="203"/>
      <c r="E10" s="203"/>
      <c r="F10" s="203"/>
      <c r="G10" s="15"/>
      <c r="H10" s="92">
        <v>130842.62</v>
      </c>
      <c r="I10" s="77"/>
      <c r="J10" s="154">
        <f>H10+I10</f>
        <v>130842.62</v>
      </c>
    </row>
    <row r="11" spans="1:10" ht="15.75">
      <c r="A11" s="91"/>
      <c r="B11" s="203" t="s">
        <v>145</v>
      </c>
      <c r="C11" s="203"/>
      <c r="D11" s="203"/>
      <c r="E11" s="203"/>
      <c r="F11" s="203"/>
      <c r="G11" s="15"/>
      <c r="H11" s="16">
        <v>7426.92</v>
      </c>
      <c r="I11" s="77"/>
      <c r="J11" s="154">
        <f>H11+I11</f>
        <v>7426.92</v>
      </c>
    </row>
    <row r="12" spans="1:10" ht="15.75">
      <c r="A12" s="22"/>
      <c r="B12" s="203" t="s">
        <v>146</v>
      </c>
      <c r="C12" s="203"/>
      <c r="D12" s="203"/>
      <c r="E12" s="203"/>
      <c r="F12" s="203"/>
      <c r="G12" s="15"/>
      <c r="H12" s="92"/>
      <c r="I12" s="77">
        <v>0</v>
      </c>
      <c r="J12" s="154">
        <f>H12+I12</f>
        <v>0</v>
      </c>
    </row>
    <row r="13" spans="1:10" ht="15.75">
      <c r="A13" s="22"/>
      <c r="B13" s="203" t="s">
        <v>147</v>
      </c>
      <c r="C13" s="203"/>
      <c r="D13" s="203"/>
      <c r="E13" s="203"/>
      <c r="F13" s="203"/>
      <c r="G13" s="15"/>
      <c r="H13" s="92">
        <v>0</v>
      </c>
      <c r="I13" s="93">
        <v>0</v>
      </c>
      <c r="J13" s="154">
        <f>H13+I13</f>
        <v>0</v>
      </c>
    </row>
    <row r="14" spans="1:10" ht="15.75">
      <c r="A14" s="22"/>
      <c r="B14" s="204" t="s">
        <v>148</v>
      </c>
      <c r="C14" s="204"/>
      <c r="D14" s="204"/>
      <c r="E14" s="204"/>
      <c r="F14" s="204"/>
      <c r="G14" s="15"/>
      <c r="H14" s="41">
        <f>SUM(H10:H12)</f>
        <v>138269.54</v>
      </c>
      <c r="I14" s="94">
        <f>SUM(I10:I12)</f>
        <v>0</v>
      </c>
      <c r="J14" s="41">
        <f>SUM(J10:J13)</f>
        <v>138269.54</v>
      </c>
    </row>
    <row r="15" spans="1:10" ht="18.75">
      <c r="A15" s="22">
        <v>2</v>
      </c>
      <c r="B15" s="272" t="s">
        <v>74</v>
      </c>
      <c r="C15" s="272"/>
      <c r="D15" s="272"/>
      <c r="E15" s="272"/>
      <c r="F15" s="272"/>
      <c r="G15" s="15"/>
      <c r="H15" s="92"/>
      <c r="I15" s="77"/>
      <c r="J15" s="34"/>
    </row>
    <row r="16" spans="1:10" ht="15.75">
      <c r="A16" s="22" t="s">
        <v>149</v>
      </c>
      <c r="B16" s="155" t="s">
        <v>75</v>
      </c>
      <c r="C16" s="155"/>
      <c r="D16" s="155"/>
      <c r="E16" s="155"/>
      <c r="F16" s="156"/>
      <c r="G16" s="153"/>
      <c r="H16" s="153"/>
      <c r="I16" s="85"/>
      <c r="J16" s="89"/>
    </row>
    <row r="17" spans="1:10" ht="33" customHeight="1">
      <c r="A17" s="96"/>
      <c r="B17" s="226" t="s">
        <v>135</v>
      </c>
      <c r="C17" s="226"/>
      <c r="D17" s="226"/>
      <c r="E17" s="97" t="s">
        <v>32</v>
      </c>
      <c r="F17" s="80" t="s">
        <v>24</v>
      </c>
      <c r="G17" s="81">
        <v>1.12</v>
      </c>
      <c r="H17" s="98">
        <f>ROUND($E$3*G17*$K$7,2)</f>
        <v>12199.8</v>
      </c>
      <c r="I17" s="99"/>
      <c r="J17" s="100">
        <f>SUM(H17:I17)</f>
        <v>12199.8</v>
      </c>
    </row>
    <row r="18" spans="1:10" ht="17.25" customHeight="1">
      <c r="A18" s="22"/>
      <c r="B18" s="227" t="s">
        <v>17</v>
      </c>
      <c r="C18" s="227"/>
      <c r="D18" s="227"/>
      <c r="E18" s="97" t="s">
        <v>32</v>
      </c>
      <c r="F18" s="80" t="s">
        <v>19</v>
      </c>
      <c r="G18" s="81">
        <v>0.3</v>
      </c>
      <c r="H18" s="98">
        <f>ROUND($E$3*G18*$K$7,2)</f>
        <v>3267.8</v>
      </c>
      <c r="I18" s="99"/>
      <c r="J18" s="100">
        <f>SUM(H18:I18)</f>
        <v>3267.8</v>
      </c>
    </row>
    <row r="19" spans="1:10" ht="20.25" customHeight="1">
      <c r="A19" s="22"/>
      <c r="B19" s="225" t="s">
        <v>23</v>
      </c>
      <c r="C19" s="225"/>
      <c r="D19" s="225"/>
      <c r="E19" s="101" t="s">
        <v>150</v>
      </c>
      <c r="F19" s="82" t="s">
        <v>20</v>
      </c>
      <c r="G19" s="81">
        <v>0.41</v>
      </c>
      <c r="H19" s="98">
        <f>J19-I19</f>
        <v>262.68</v>
      </c>
      <c r="I19" s="99"/>
      <c r="J19" s="102">
        <v>262.68</v>
      </c>
    </row>
    <row r="20" spans="1:10" ht="20.25" customHeight="1">
      <c r="A20" s="96"/>
      <c r="B20" s="226" t="s">
        <v>31</v>
      </c>
      <c r="C20" s="226"/>
      <c r="D20" s="226"/>
      <c r="E20" s="103" t="s">
        <v>9</v>
      </c>
      <c r="F20" s="83" t="s">
        <v>10</v>
      </c>
      <c r="G20" s="81">
        <v>0.54</v>
      </c>
      <c r="H20" s="98">
        <f>ROUND($E$3*G20*$K$7,2)</f>
        <v>5882.05</v>
      </c>
      <c r="I20" s="99"/>
      <c r="J20" s="100">
        <f>SUM(H20:I20)</f>
        <v>5882.05</v>
      </c>
    </row>
    <row r="21" spans="1:10" ht="53.25" customHeight="1">
      <c r="A21" s="22"/>
      <c r="B21" s="225" t="s">
        <v>27</v>
      </c>
      <c r="C21" s="225"/>
      <c r="D21" s="225"/>
      <c r="E21" s="101" t="s">
        <v>151</v>
      </c>
      <c r="F21" s="82" t="s">
        <v>25</v>
      </c>
      <c r="G21" s="81">
        <v>0.13</v>
      </c>
      <c r="H21" s="98">
        <f>J21-I21</f>
        <v>0</v>
      </c>
      <c r="I21" s="99"/>
      <c r="J21" s="102">
        <v>0</v>
      </c>
    </row>
    <row r="22" spans="1:10" ht="20.25" customHeight="1">
      <c r="A22" s="96"/>
      <c r="B22" s="225" t="s">
        <v>11</v>
      </c>
      <c r="C22" s="225"/>
      <c r="D22" s="225"/>
      <c r="E22" s="101" t="s">
        <v>9</v>
      </c>
      <c r="F22" s="82" t="s">
        <v>12</v>
      </c>
      <c r="G22" s="127">
        <v>0</v>
      </c>
      <c r="H22" s="98">
        <f>ROUND($E$3*G22*$K$7,2)</f>
        <v>0</v>
      </c>
      <c r="I22" s="99"/>
      <c r="J22" s="102">
        <f>H22</f>
        <v>0</v>
      </c>
    </row>
    <row r="23" spans="1:10" ht="20.25" customHeight="1">
      <c r="A23" s="96"/>
      <c r="B23" s="225" t="s">
        <v>26</v>
      </c>
      <c r="C23" s="188"/>
      <c r="D23" s="188"/>
      <c r="E23" s="104" t="s">
        <v>13</v>
      </c>
      <c r="F23" s="79" t="s">
        <v>14</v>
      </c>
      <c r="G23" s="81">
        <v>0.05</v>
      </c>
      <c r="H23" s="98">
        <f>J23-I23</f>
        <v>850.65</v>
      </c>
      <c r="I23" s="99"/>
      <c r="J23" s="102">
        <v>850.65</v>
      </c>
    </row>
    <row r="24" spans="1:10" ht="51.75" customHeight="1">
      <c r="A24" s="22"/>
      <c r="B24" s="225" t="s">
        <v>152</v>
      </c>
      <c r="C24" s="225"/>
      <c r="D24" s="225"/>
      <c r="E24" s="97" t="s">
        <v>217</v>
      </c>
      <c r="F24" s="39" t="s">
        <v>81</v>
      </c>
      <c r="G24" s="81">
        <v>1.63</v>
      </c>
      <c r="H24" s="98">
        <f aca="true" t="shared" si="0" ref="H24:H29">ROUND($E$3*G24*$K$7,2)</f>
        <v>17755.07</v>
      </c>
      <c r="I24" s="99"/>
      <c r="J24" s="100">
        <f aca="true" t="shared" si="1" ref="J24:J29">SUM(H24:I24)</f>
        <v>17755.07</v>
      </c>
    </row>
    <row r="25" spans="1:10" ht="53.25" customHeight="1">
      <c r="A25" s="22"/>
      <c r="B25" s="227" t="s">
        <v>15</v>
      </c>
      <c r="C25" s="227"/>
      <c r="D25" s="227"/>
      <c r="E25" s="97" t="s">
        <v>136</v>
      </c>
      <c r="F25" s="39" t="s">
        <v>81</v>
      </c>
      <c r="G25" s="81">
        <v>0.47</v>
      </c>
      <c r="H25" s="98">
        <f>J25-I25</f>
        <v>5130.52</v>
      </c>
      <c r="I25" s="99"/>
      <c r="J25" s="100">
        <v>5130.52</v>
      </c>
    </row>
    <row r="26" spans="1:10" ht="30" customHeight="1">
      <c r="A26" s="22"/>
      <c r="B26" s="228" t="s">
        <v>37</v>
      </c>
      <c r="C26" s="181"/>
      <c r="D26" s="182"/>
      <c r="E26" s="97" t="s">
        <v>36</v>
      </c>
      <c r="F26" s="39" t="s">
        <v>81</v>
      </c>
      <c r="G26" s="81">
        <f>4.32-G27-G28</f>
        <v>4.010000000000001</v>
      </c>
      <c r="H26" s="98">
        <f t="shared" si="0"/>
        <v>43679.65</v>
      </c>
      <c r="I26" s="106"/>
      <c r="J26" s="100">
        <f t="shared" si="1"/>
        <v>43679.65</v>
      </c>
    </row>
    <row r="27" spans="1:10" ht="26.25" customHeight="1">
      <c r="A27" s="96"/>
      <c r="B27" s="225" t="s">
        <v>153</v>
      </c>
      <c r="C27" s="225"/>
      <c r="D27" s="225"/>
      <c r="E27" s="101" t="s">
        <v>9</v>
      </c>
      <c r="F27" s="39" t="s">
        <v>81</v>
      </c>
      <c r="G27" s="81">
        <v>0.31</v>
      </c>
      <c r="H27" s="98">
        <f t="shared" si="0"/>
        <v>3376.73</v>
      </c>
      <c r="I27" s="106"/>
      <c r="J27" s="100">
        <f t="shared" si="1"/>
        <v>3376.73</v>
      </c>
    </row>
    <row r="28" spans="1:10" ht="17.25" customHeight="1">
      <c r="A28" s="22"/>
      <c r="B28" s="225" t="s">
        <v>154</v>
      </c>
      <c r="C28" s="225"/>
      <c r="D28" s="225"/>
      <c r="E28" s="101" t="s">
        <v>9</v>
      </c>
      <c r="F28" s="39" t="s">
        <v>81</v>
      </c>
      <c r="G28" s="127">
        <v>0</v>
      </c>
      <c r="H28" s="98">
        <f t="shared" si="0"/>
        <v>0</v>
      </c>
      <c r="I28" s="106"/>
      <c r="J28" s="100">
        <f t="shared" si="1"/>
        <v>0</v>
      </c>
    </row>
    <row r="29" spans="1:10" ht="29.25" customHeight="1">
      <c r="A29" s="22"/>
      <c r="B29" s="188" t="s">
        <v>21</v>
      </c>
      <c r="C29" s="188"/>
      <c r="D29" s="188"/>
      <c r="E29" s="97" t="s">
        <v>36</v>
      </c>
      <c r="F29" s="39" t="s">
        <v>81</v>
      </c>
      <c r="G29" s="81">
        <v>1.12</v>
      </c>
      <c r="H29" s="98">
        <f t="shared" si="0"/>
        <v>12199.8</v>
      </c>
      <c r="I29" s="99"/>
      <c r="J29" s="100">
        <f t="shared" si="1"/>
        <v>12199.8</v>
      </c>
    </row>
    <row r="30" spans="1:10" ht="15.75">
      <c r="A30" s="22"/>
      <c r="B30" s="186"/>
      <c r="C30" s="181"/>
      <c r="D30" s="182"/>
      <c r="E30" s="143"/>
      <c r="F30" s="39"/>
      <c r="G30" s="79"/>
      <c r="H30" s="105"/>
      <c r="I30" s="93"/>
      <c r="J30" s="157"/>
    </row>
    <row r="31" spans="1:10" ht="15.75">
      <c r="A31" s="22"/>
      <c r="B31" s="273" t="s">
        <v>30</v>
      </c>
      <c r="C31" s="273"/>
      <c r="D31" s="273"/>
      <c r="E31" s="22"/>
      <c r="F31" s="39"/>
      <c r="G31" s="23">
        <f>SUM(G17:G29)</f>
        <v>10.09</v>
      </c>
      <c r="H31" s="95">
        <f>SUM(H17:H30)</f>
        <v>104604.75</v>
      </c>
      <c r="I31" s="94"/>
      <c r="J31" s="95">
        <f>SUM(J17:J30)</f>
        <v>104604.75</v>
      </c>
    </row>
    <row r="32" spans="1:10" ht="15.75" hidden="1">
      <c r="A32" s="22"/>
      <c r="B32" s="183" t="s">
        <v>155</v>
      </c>
      <c r="C32" s="184"/>
      <c r="D32" s="185"/>
      <c r="E32" s="143" t="s">
        <v>9</v>
      </c>
      <c r="F32" s="39"/>
      <c r="G32" s="79"/>
      <c r="H32" s="105"/>
      <c r="I32" s="93"/>
      <c r="J32" s="157"/>
    </row>
    <row r="33" spans="1:10" ht="25.5" hidden="1">
      <c r="A33" s="22"/>
      <c r="B33" s="183" t="s">
        <v>156</v>
      </c>
      <c r="C33" s="184"/>
      <c r="D33" s="185"/>
      <c r="E33" s="158" t="s">
        <v>36</v>
      </c>
      <c r="F33" s="39"/>
      <c r="G33" s="79"/>
      <c r="H33" s="105"/>
      <c r="I33" s="93"/>
      <c r="J33" s="157"/>
    </row>
    <row r="34" spans="1:10" ht="15.75" hidden="1">
      <c r="A34" s="22"/>
      <c r="B34" s="186"/>
      <c r="C34" s="181"/>
      <c r="D34" s="182"/>
      <c r="E34" s="143"/>
      <c r="F34" s="39"/>
      <c r="G34" s="79"/>
      <c r="H34" s="105"/>
      <c r="I34" s="93"/>
      <c r="J34" s="157"/>
    </row>
    <row r="35" spans="1:10" ht="15" customHeight="1">
      <c r="A35" s="22" t="s">
        <v>157</v>
      </c>
      <c r="B35" s="222" t="s">
        <v>158</v>
      </c>
      <c r="C35" s="223"/>
      <c r="D35" s="223"/>
      <c r="E35" s="224"/>
      <c r="F35" s="39" t="s">
        <v>81</v>
      </c>
      <c r="G35" s="23">
        <f>H35/E3/$K$7</f>
        <v>10.1664787729007</v>
      </c>
      <c r="H35" s="159">
        <v>110740.2</v>
      </c>
      <c r="I35" s="110"/>
      <c r="J35" s="41">
        <f>SUM(H35:I35)</f>
        <v>110740.2</v>
      </c>
    </row>
    <row r="36" spans="1:10" ht="14.25" customHeight="1">
      <c r="A36" s="25"/>
      <c r="B36" s="190" t="s">
        <v>76</v>
      </c>
      <c r="C36" s="190"/>
      <c r="D36" s="190"/>
      <c r="E36" s="190"/>
      <c r="F36" s="190"/>
      <c r="G36" s="23">
        <f>SUM(G31:G35)</f>
        <v>20.2564787729007</v>
      </c>
      <c r="H36" s="160">
        <f>SUM(H31:H35)</f>
        <v>215344.95</v>
      </c>
      <c r="I36" s="161"/>
      <c r="J36" s="160">
        <f>SUM(J31:J35)</f>
        <v>215344.95</v>
      </c>
    </row>
    <row r="37" spans="1:10" ht="15.75">
      <c r="A37" s="22" t="s">
        <v>159</v>
      </c>
      <c r="B37" s="190" t="s">
        <v>160</v>
      </c>
      <c r="C37" s="190"/>
      <c r="D37" s="190"/>
      <c r="E37" s="190"/>
      <c r="F37" s="190"/>
      <c r="G37" s="23">
        <f>H37/E3/$K$7</f>
        <v>0</v>
      </c>
      <c r="H37" s="112">
        <v>0</v>
      </c>
      <c r="I37" s="112"/>
      <c r="J37" s="162">
        <f>SUM(H37:I37)</f>
        <v>0</v>
      </c>
    </row>
    <row r="38" spans="1:10" ht="24.75" customHeight="1">
      <c r="A38" s="25"/>
      <c r="B38" s="190" t="s">
        <v>161</v>
      </c>
      <c r="C38" s="190"/>
      <c r="D38" s="190"/>
      <c r="E38" s="190"/>
      <c r="F38" s="190"/>
      <c r="G38" s="23">
        <f>SUM(G36:G37)</f>
        <v>20.2564787729007</v>
      </c>
      <c r="H38" s="160">
        <f>SUM(H36:H37)</f>
        <v>215344.95</v>
      </c>
      <c r="I38" s="161"/>
      <c r="J38" s="160">
        <f>SUM(J36:J37)</f>
        <v>215344.95</v>
      </c>
    </row>
    <row r="39" spans="1:10" ht="27" customHeight="1">
      <c r="A39" s="22">
        <v>3</v>
      </c>
      <c r="B39" s="198" t="s">
        <v>247</v>
      </c>
      <c r="C39" s="199"/>
      <c r="D39" s="199"/>
      <c r="E39" s="199"/>
      <c r="F39" s="199"/>
      <c r="G39" s="149"/>
      <c r="H39" s="98">
        <f>H14-H38</f>
        <v>-77075.41</v>
      </c>
      <c r="I39" s="98"/>
      <c r="J39" s="94">
        <f>J14-J38</f>
        <v>-77075.41</v>
      </c>
    </row>
    <row r="40" spans="2:10" ht="15.75">
      <c r="B40" s="33"/>
      <c r="F40" s="33"/>
      <c r="J40"/>
    </row>
    <row r="41" spans="2:10" ht="36" customHeight="1">
      <c r="B41" s="187" t="s">
        <v>242</v>
      </c>
      <c r="C41" s="187"/>
      <c r="D41" s="187"/>
      <c r="E41" s="187"/>
      <c r="F41" s="187"/>
      <c r="G41" s="187"/>
      <c r="H41" s="187"/>
      <c r="I41" s="187"/>
      <c r="J41"/>
    </row>
    <row r="42" spans="2:10" ht="25.5" customHeight="1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48" t="s">
        <v>243</v>
      </c>
      <c r="C44" s="48"/>
      <c r="D44" s="37"/>
      <c r="J44"/>
    </row>
    <row r="45" spans="2:10" ht="15.75" customHeight="1">
      <c r="B45" s="197" t="s">
        <v>244</v>
      </c>
      <c r="C45" s="197"/>
      <c r="D45" s="197"/>
      <c r="J45"/>
    </row>
    <row r="46" ht="15.75">
      <c r="J46"/>
    </row>
    <row r="47" spans="2:10" ht="15.75">
      <c r="B47" t="s">
        <v>245</v>
      </c>
      <c r="J47"/>
    </row>
  </sheetData>
  <mergeCells count="37">
    <mergeCell ref="B45:D45"/>
    <mergeCell ref="B37:F37"/>
    <mergeCell ref="B38:F38"/>
    <mergeCell ref="B39:F39"/>
    <mergeCell ref="B41:I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6" right="0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2013-02-27T06:14:38Z</cp:lastPrinted>
  <dcterms:created xsi:type="dcterms:W3CDTF">2009-08-26T03:25:10Z</dcterms:created>
  <dcterms:modified xsi:type="dcterms:W3CDTF">2013-05-08T04:59:16Z</dcterms:modified>
  <cp:category/>
  <cp:version/>
  <cp:contentType/>
  <cp:contentStatus/>
</cp:coreProperties>
</file>