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tabRatio="641" firstSheet="7" activeTab="7"/>
  </bookViews>
  <sheets>
    <sheet name="2008" sheetId="1" r:id="rId1"/>
    <sheet name="отчет 2009" sheetId="2" state="hidden" r:id="rId2"/>
    <sheet name="отчте 2010" sheetId="3" state="hidden" r:id="rId3"/>
    <sheet name="план 2011" sheetId="4" state="hidden" r:id="rId4"/>
    <sheet name="отчет 2011" sheetId="5" state="hidden" r:id="rId5"/>
    <sheet name="смета 2012" sheetId="6" state="hidden" r:id="rId6"/>
    <sheet name="07.2012" sheetId="7" state="hidden" r:id="rId7"/>
    <sheet name="отчет12 (01-08)" sheetId="8" r:id="rId8"/>
    <sheet name="накопит отчет" sheetId="9" state="hidden" r:id="rId9"/>
  </sheets>
  <definedNames>
    <definedName name="_xlnm.Print_Area" localSheetId="6">'07.2012'!$A$1:$H$39</definedName>
  </definedNames>
  <calcPr fullCalcOnLoad="1"/>
</workbook>
</file>

<file path=xl/sharedStrings.xml><?xml version="1.0" encoding="utf-8"?>
<sst xmlns="http://schemas.openxmlformats.org/spreadsheetml/2006/main" count="729" uniqueCount="253">
  <si>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</si>
  <si>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</si>
  <si>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</si>
  <si>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</si>
  <si>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</si>
  <si>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</si>
  <si>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</si>
  <si>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</si>
  <si>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</si>
  <si>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</si>
  <si>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</si>
  <si>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</si>
  <si>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</si>
  <si>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</si>
  <si>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</si>
  <si>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</si>
  <si>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</si>
  <si>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</si>
  <si>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</si>
  <si>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</si>
  <si>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</si>
  <si>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</si>
  <si>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</si>
  <si>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</si>
  <si>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</si>
  <si>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</si>
  <si>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</si>
  <si>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</si>
  <si>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</si>
  <si>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</si>
  <si>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</si>
  <si>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</si>
  <si>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</si>
  <si>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</si>
  <si>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</si>
  <si>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</si>
  <si>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</si>
  <si>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</si>
  <si>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</si>
  <si>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</si>
  <si>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</si>
  <si>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</si>
  <si>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</si>
  <si>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</si>
  <si>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</si>
  <si>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</si>
  <si>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</si>
  <si>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</si>
  <si>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</si>
  <si>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</si>
  <si>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</si>
  <si>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</si>
  <si>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</si>
  <si>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</si>
  <si>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</si>
  <si>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</si>
  <si>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</si>
  <si>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</si>
  <si>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</si>
  <si>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</si>
  <si>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</si>
  <si>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</si>
  <si>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</si>
  <si>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</si>
  <si>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</si>
  <si>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</si>
  <si>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</si>
  <si>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</si>
  <si>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</si>
  <si>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</si>
  <si>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</si>
  <si>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</si>
  <si>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</si>
  <si>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</si>
  <si>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</si>
  <si>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</si>
  <si>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</si>
  <si>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</si>
  <si>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</si>
  <si>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</si>
  <si>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</si>
  <si>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</si>
  <si>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</si>
  <si>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пр. Ленина, 153</t>
  </si>
  <si>
    <t xml:space="preserve">                    Представитель собственников  - старший по дому Келлер М.П.,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</si>
  <si>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ОТЧЕТ
за  2009 г. о выполненнии условий  договора управления МКД
№226/6 от 28.03.2008 г., заключенного между ООО "ОЖКС №6" 
и собственниками многоквартирного дома
по адресу:  пр. Ленина, 153</t>
  </si>
  <si>
    <t>Старший по дому                                                                   М.П. Келлер</t>
  </si>
  <si>
    <t>Претензий по управлению нет (да)</t>
  </si>
  <si>
    <t>ОТЧЕТ
о выполненных работах в 2008 году по договору управления МКД 
№226 от 28.03.2008 г., заключенного между ООО "ОЖКС №6" и собственниками многоквартирного дома
по адресу:  пр-т Ленина, 153.</t>
  </si>
  <si>
    <t xml:space="preserve">            Представитель собственников  - старший по дому Кллер М.П.,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</si>
  <si>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</si>
  <si>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</si>
  <si>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</si>
  <si>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</si>
  <si>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</si>
  <si>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</si>
  <si>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</si>
  <si>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</si>
  <si>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</si>
  <si>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</si>
  <si>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</si>
  <si>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</si>
  <si>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</si>
  <si>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</si>
  <si>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</si>
  <si>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</si>
  <si>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</si>
  <si>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</si>
  <si>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</si>
  <si>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</si>
  <si>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</si>
  <si>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</si>
  <si>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</si>
  <si>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</si>
  <si>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</si>
  <si>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</si>
  <si>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</si>
  <si>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</si>
  <si>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</si>
  <si>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</si>
  <si>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</si>
  <si>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</si>
  <si>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</si>
  <si>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</si>
  <si>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</si>
  <si>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</si>
  <si>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</si>
  <si>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</si>
  <si>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</si>
  <si>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</si>
  <si>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</si>
  <si>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Старший по дому                                                                   М.П. Кллер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</si>
  <si>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</si>
  <si>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</si>
  <si>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</si>
  <si>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</si>
  <si>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</si>
  <si>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</si>
  <si>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</si>
  <si>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</si>
  <si>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</si>
  <si>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</si>
  <si>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</si>
  <si>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</si>
  <si>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</si>
  <si>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</si>
  <si>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</si>
  <si>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</si>
  <si>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</si>
  <si>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</si>
  <si>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</si>
  <si>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</si>
  <si>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</si>
  <si>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мусоропроводов </t>
    </r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</si>
  <si>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</si>
  <si>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</si>
  <si>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</si>
  <si>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</si>
  <si>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</si>
  <si>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</si>
  <si>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</si>
  <si>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</si>
  <si>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</si>
  <si>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</si>
  <si>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</si>
  <si>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</si>
  <si>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</si>
  <si>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</si>
  <si>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</si>
  <si>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</si>
  <si>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</si>
  <si>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</si>
  <si>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</si>
  <si>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</si>
  <si>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</si>
  <si>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</si>
  <si>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</si>
  <si>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</si>
  <si>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</si>
  <si>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</si>
  <si>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</si>
  <si>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</si>
  <si>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</si>
  <si>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</si>
  <si>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</si>
  <si>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</si>
  <si>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</si>
  <si>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</si>
  <si>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</si>
  <si>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</si>
  <si>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</si>
  <si>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</si>
  <si>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</si>
  <si>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</si>
  <si>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</si>
  <si>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</si>
  <si>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</si>
  <si>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</si>
  <si>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</si>
  <si>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</si>
  <si>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2010 г. о выполненнии условий  договора управления МКД 
№226/6 от 28.03.2008 г., заключенного между ООО "ОЖКС №6" 
и собственниками многоквартирного дома
по адресу:  пр. Ленина, 153</t>
  </si>
  <si>
    <t>ОТЧЕТ
по  договору управления МКД 
№226/6 от 28.03.2008 г., заключенного между ООО "ОЖКС №6" 
и собственниками многоквартирного дома
по адресу:  пр. Ленина, 153</t>
  </si>
  <si>
    <t>Смета 
доходов и расходов на  2011 г. согласно договора управления МКД 
№226/6 от 28.03.2008 г., заключенного между ООО "ОЖКС №6" 
и собственниками многоквартирного дома
по адресу:  пр. Ленина, 153</t>
  </si>
  <si>
    <t xml:space="preserve">                    Представитель собственников  - старший по дому Келлер М.П.,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</si>
  <si>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Итого</t>
  </si>
  <si>
    <t>результат
 за год
(+эконом., 
-перерасх.)</t>
  </si>
  <si>
    <t>ОТЧЕТ
за  2011 г. о выполненнии условий  договора управления МКД 
№226/6 от 28.03.2008 г., заключенного между ООО "ОЖКС №6" 
и собственниками многоквартирного дома
по адресу:  пр. Ленина, 153</t>
  </si>
  <si>
    <t xml:space="preserve">                    Представитель собственников  - старший по дому 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</si>
  <si>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мусоропроводов </t>
    </r>
  </si>
  <si>
    <t xml:space="preserve">Финансовый результат за 2011г. (+ экономия,- перерасход)                                                      </t>
  </si>
  <si>
    <t>Смета 
доходов и расходов на  2012 г. согласно договора управления МКД 
№226/6 от 28.03.2008 г., заключенного между ООО "ОЖКС №6" 
и собственниками многоквартирного дома
по адресу:  пр. Ленина, 153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</si>
  <si>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</si>
  <si>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</si>
  <si>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</si>
  <si>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        Приложение №7 к Договору                                                                   на оказание услуг и  выполнение работ по содержанию,                        текущему и капитальному ремонту общего имущества МКД                       № ___ от "____"___________2012г.</t>
  </si>
  <si>
    <t>Расчет стоимости договора и тарифа 1 м2 на 2012г.</t>
  </si>
  <si>
    <t xml:space="preserve">Директор ООО "Октябрьский ЖКС № 6"                       </t>
  </si>
  <si>
    <t xml:space="preserve">                   Представитель Собственников</t>
  </si>
  <si>
    <t>_________________ Л.И. Никашина</t>
  </si>
  <si>
    <t xml:space="preserve">                    ________________________</t>
  </si>
  <si>
    <t>1.1.</t>
  </si>
  <si>
    <t>1.2.</t>
  </si>
  <si>
    <t>1.3.</t>
  </si>
  <si>
    <t>по плану работ</t>
  </si>
  <si>
    <t>108, 2 нежилых помещения</t>
  </si>
  <si>
    <t>36,7 м2 в подвале прибавляем к общей площади</t>
  </si>
  <si>
    <t>62 м2 встроенное площадь уже входит</t>
  </si>
  <si>
    <t>Тариф с 1 сентября 2012 г. - 15,36 руб., капитальный ремонт - 0,80 руб.</t>
  </si>
  <si>
    <t>Тариф 
на 1 кв.м. 
сентябрь-декабрь 2012г.
руб.</t>
  </si>
  <si>
    <t>Стоимость работ
сентябрь-декабрь 2012г. руб.</t>
  </si>
  <si>
    <t>5=гр.4*Sдома*4мес.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</si>
  <si>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</si>
  <si>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</si>
  <si>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r>
      <t>Обслуживание прибора учета тепловой энергии</t>
    </r>
    <r>
      <rPr>
        <b/>
        <sz val="10"/>
        <rFont val="Times New Roman"/>
        <family val="1"/>
      </rPr>
      <t xml:space="preserve">                  (плата за прибор учета с распределением пропорционально площади помещений)</t>
    </r>
  </si>
  <si>
    <t>согласно протокола общего собрания</t>
  </si>
  <si>
    <t>ООО  "ОЖКС №4"</t>
  </si>
  <si>
    <t>ОТЧЕТ
с 01.01.12г по 31.08.12 г. о выполненнии условий  договора управления МКД 
№226/6 от 28.03.2008 г., заключенного между ООО "ОЖКС №6" 
и собственниками многоквартирного дома
по адресу:  пр. Ленина, 153</t>
  </si>
  <si>
    <t xml:space="preserve">                    Представитель собственников  - старший по дому 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01.01.12г по 31.08.12 г. </t>
  </si>
  <si>
    <t>S жилых и нежилых помещений, кв.м</t>
  </si>
  <si>
    <t>Тариф 01.01.12г-30.06.12г</t>
  </si>
  <si>
    <t>Тариф 01.07.12г.-31.08.12г.</t>
  </si>
  <si>
    <t>Сумма 
с 01.01.12г по 31.08.12г.,
 руб.</t>
  </si>
  <si>
    <t>кол-во мес. по дог. управления</t>
  </si>
  <si>
    <t xml:space="preserve"> - прочие доходы </t>
  </si>
  <si>
    <t>Сбор, вывоз бытового мусора</t>
  </si>
  <si>
    <t xml:space="preserve">Финансовый результат за с 01.01.12г. по 31.08.12г.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</si>
  <si>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</si>
  <si>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</si>
  <si>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</si>
  <si>
    <t>2012г</t>
  </si>
  <si>
    <t xml:space="preserve">Директор ООО "ОЖКС № 6"                                 </t>
  </si>
  <si>
    <t xml:space="preserve">____________ Л.И. Никашина                               </t>
  </si>
  <si>
    <t>Старший по дому                                                                 ____________________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</si>
</sst>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10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8"/>
      <color indexed="9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17" xfId="0" applyNumberForma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64" fontId="2" fillId="0" borderId="24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0" fontId="2" fillId="0" borderId="27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3" fontId="0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left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1" fillId="0" borderId="0" xfId="0" applyFont="1" applyAlignment="1">
      <alignment horizontal="justify"/>
    </xf>
    <xf numFmtId="0" fontId="5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33</xdr:row>
      <xdr:rowOff>9525</xdr:rowOff>
    </xdr:from>
    <xdr:to>
      <xdr:col>8</xdr:col>
      <xdr:colOff>0</xdr:colOff>
      <xdr:row>33</xdr:row>
      <xdr:rowOff>476250</xdr:rowOff>
    </xdr:to>
    <xdr:sp>
      <xdr:nvSpPr>
        <xdr:cNvPr id="1" name="Rectangle 1"/>
        <xdr:cNvSpPr>
          <a:spLocks/>
        </xdr:cNvSpPr>
      </xdr:nvSpPr>
      <xdr:spPr>
        <a:xfrm>
          <a:off x="7229475" y="107251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(с прибора учета                в месяц)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5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125" style="0" customWidth="1"/>
    <col min="5" max="5" width="12.00390625" style="0" customWidth="1"/>
  </cols>
  <sheetData>
    <row r="1" spans="1:4" ht="104.25" customHeight="1">
      <c r="A1" s="186" t="s">
        <v>88</v>
      </c>
      <c r="B1" s="187"/>
      <c r="C1" s="187"/>
      <c r="D1" s="187"/>
    </row>
    <row r="2" spans="1:5" ht="80.25" customHeight="1">
      <c r="A2" s="188" t="s">
        <v>89</v>
      </c>
      <c r="B2" s="189"/>
      <c r="C2" s="189"/>
      <c r="D2" s="189"/>
      <c r="E2" t="s">
        <v>80</v>
      </c>
    </row>
    <row r="3" spans="1:5" ht="39" customHeight="1">
      <c r="A3" s="23" t="s">
        <v>90</v>
      </c>
      <c r="B3" s="23" t="s">
        <v>91</v>
      </c>
      <c r="C3" s="11" t="s">
        <v>92</v>
      </c>
      <c r="D3" s="51" t="s">
        <v>93</v>
      </c>
      <c r="E3" s="52" t="s">
        <v>94</v>
      </c>
    </row>
    <row r="4" spans="1:5" ht="18.75" customHeight="1">
      <c r="A4" s="53" t="s">
        <v>95</v>
      </c>
      <c r="B4" s="54" t="s">
        <v>96</v>
      </c>
      <c r="C4" s="11" t="s">
        <v>97</v>
      </c>
      <c r="D4" s="55">
        <v>9</v>
      </c>
      <c r="E4" s="55">
        <v>9</v>
      </c>
    </row>
    <row r="5" spans="1:5" ht="15.75">
      <c r="A5" s="56" t="s">
        <v>98</v>
      </c>
      <c r="B5" s="57" t="s">
        <v>99</v>
      </c>
      <c r="C5" s="58" t="s">
        <v>100</v>
      </c>
      <c r="D5" s="59">
        <v>5572</v>
      </c>
      <c r="E5" s="59">
        <v>5572</v>
      </c>
    </row>
    <row r="6" spans="1:5" ht="14.25" customHeight="1">
      <c r="A6" s="56" t="s">
        <v>101</v>
      </c>
      <c r="B6" s="57" t="s">
        <v>102</v>
      </c>
      <c r="C6" s="58" t="s">
        <v>97</v>
      </c>
      <c r="D6" s="60">
        <v>107</v>
      </c>
      <c r="E6" s="60">
        <v>107</v>
      </c>
    </row>
    <row r="7" spans="1:5" ht="16.5" customHeight="1">
      <c r="A7" s="56" t="s">
        <v>103</v>
      </c>
      <c r="B7" s="57" t="s">
        <v>104</v>
      </c>
      <c r="C7" s="50"/>
      <c r="D7" s="59"/>
      <c r="E7" s="59"/>
    </row>
    <row r="8" spans="1:5" ht="15.75">
      <c r="A8" s="61" t="s">
        <v>105</v>
      </c>
      <c r="B8" s="57" t="s">
        <v>106</v>
      </c>
      <c r="C8" s="50"/>
      <c r="D8" s="59"/>
      <c r="E8" s="59"/>
    </row>
    <row r="9" spans="1:5" ht="17.25" customHeight="1">
      <c r="A9" s="62"/>
      <c r="B9" s="35" t="s">
        <v>107</v>
      </c>
      <c r="C9" s="50" t="s">
        <v>108</v>
      </c>
      <c r="D9" s="59">
        <v>505511.7</v>
      </c>
      <c r="E9" s="59">
        <v>505511.7</v>
      </c>
    </row>
    <row r="10" spans="1:5" ht="16.5" customHeight="1">
      <c r="A10" s="62"/>
      <c r="B10" s="35" t="s">
        <v>109</v>
      </c>
      <c r="C10" s="50" t="s">
        <v>108</v>
      </c>
      <c r="D10" s="59">
        <v>464605.67</v>
      </c>
      <c r="E10" s="59">
        <v>464605.67</v>
      </c>
    </row>
    <row r="11" spans="1:5" ht="15.75">
      <c r="A11" s="62"/>
      <c r="B11" s="57" t="s">
        <v>110</v>
      </c>
      <c r="C11" s="58" t="s">
        <v>108</v>
      </c>
      <c r="D11" s="63">
        <f>D9-D10</f>
        <v>40906.03000000003</v>
      </c>
      <c r="E11" s="63">
        <f>E9-E10</f>
        <v>40906.03000000003</v>
      </c>
    </row>
    <row r="12" spans="1:5" ht="18" customHeight="1">
      <c r="A12" s="61" t="s">
        <v>111</v>
      </c>
      <c r="B12" s="57" t="s">
        <v>112</v>
      </c>
      <c r="C12" s="50"/>
      <c r="D12" s="59"/>
      <c r="E12" s="59"/>
    </row>
    <row r="13" spans="1:5" ht="15.75">
      <c r="A13" s="62"/>
      <c r="B13" s="35" t="s">
        <v>107</v>
      </c>
      <c r="C13" s="50" t="s">
        <v>108</v>
      </c>
      <c r="D13" s="59">
        <v>22428.52</v>
      </c>
      <c r="E13" s="59"/>
    </row>
    <row r="14" spans="1:5" ht="15.75" customHeight="1">
      <c r="A14" s="62"/>
      <c r="B14" s="35" t="s">
        <v>109</v>
      </c>
      <c r="C14" s="50" t="s">
        <v>108</v>
      </c>
      <c r="D14" s="59">
        <v>22035.95</v>
      </c>
      <c r="E14" s="59"/>
    </row>
    <row r="15" spans="1:5" ht="15.75" customHeight="1">
      <c r="A15" s="62"/>
      <c r="B15" s="57" t="s">
        <v>110</v>
      </c>
      <c r="C15" s="58" t="s">
        <v>108</v>
      </c>
      <c r="D15" s="63">
        <f>D13-D14</f>
        <v>392.5699999999997</v>
      </c>
      <c r="E15" s="63">
        <f>E13-E14</f>
        <v>0</v>
      </c>
    </row>
    <row r="16" spans="1:5" ht="15.75" customHeight="1">
      <c r="A16" s="61" t="s">
        <v>113</v>
      </c>
      <c r="B16" s="57" t="s">
        <v>114</v>
      </c>
      <c r="C16" s="50"/>
      <c r="D16" s="59"/>
      <c r="E16" s="59"/>
    </row>
    <row r="17" spans="1:5" ht="15.75" customHeight="1">
      <c r="A17" s="62"/>
      <c r="B17" s="35" t="s">
        <v>107</v>
      </c>
      <c r="C17" s="50" t="s">
        <v>108</v>
      </c>
      <c r="D17" s="59">
        <v>12683.03</v>
      </c>
      <c r="E17" s="59">
        <v>12683.03</v>
      </c>
    </row>
    <row r="18" spans="1:5" ht="15.75" customHeight="1">
      <c r="A18" s="62"/>
      <c r="B18" s="35" t="s">
        <v>109</v>
      </c>
      <c r="C18" s="50" t="s">
        <v>108</v>
      </c>
      <c r="D18" s="59">
        <v>9731.31</v>
      </c>
      <c r="E18" s="59">
        <v>9731.31</v>
      </c>
    </row>
    <row r="19" spans="1:5" ht="15.75" customHeight="1">
      <c r="A19" s="62"/>
      <c r="B19" s="57" t="s">
        <v>110</v>
      </c>
      <c r="C19" s="58" t="s">
        <v>108</v>
      </c>
      <c r="D19" s="63">
        <f>D17-D18</f>
        <v>2951.720000000001</v>
      </c>
      <c r="E19" s="63">
        <f>E17-E18</f>
        <v>2951.720000000001</v>
      </c>
    </row>
    <row r="20" spans="1:5" ht="15" customHeight="1">
      <c r="A20" s="62"/>
      <c r="B20" s="57" t="s">
        <v>115</v>
      </c>
      <c r="C20" s="50" t="s">
        <v>108</v>
      </c>
      <c r="D20" s="63">
        <f>D9+D13+D17</f>
        <v>540623.25</v>
      </c>
      <c r="E20" s="63">
        <f>E9+E13+E17</f>
        <v>518194.73000000004</v>
      </c>
    </row>
    <row r="21" spans="1:5" ht="15.75">
      <c r="A21" s="62"/>
      <c r="B21" s="57" t="s">
        <v>116</v>
      </c>
      <c r="C21" s="50" t="s">
        <v>108</v>
      </c>
      <c r="D21" s="63">
        <f>D11+D15+D19</f>
        <v>44250.32000000003</v>
      </c>
      <c r="E21" s="63">
        <f>E11+E15+E19</f>
        <v>43857.75000000003</v>
      </c>
    </row>
    <row r="22" spans="1:5" ht="15.75" customHeight="1">
      <c r="A22" s="56" t="s">
        <v>117</v>
      </c>
      <c r="B22" s="64" t="s">
        <v>118</v>
      </c>
      <c r="C22" s="50"/>
      <c r="D22" s="59"/>
      <c r="E22" s="59"/>
    </row>
    <row r="23" spans="1:5" ht="94.5">
      <c r="A23" s="65" t="s">
        <v>119</v>
      </c>
      <c r="B23" s="66" t="s">
        <v>120</v>
      </c>
      <c r="C23" s="58" t="s">
        <v>108</v>
      </c>
      <c r="D23" s="63">
        <f>D9*0.11</f>
        <v>55606.287000000004</v>
      </c>
      <c r="E23" s="63">
        <f>E9*0.11</f>
        <v>55606.287000000004</v>
      </c>
    </row>
    <row r="24" spans="1:6" ht="94.5" customHeight="1">
      <c r="A24" s="65" t="s">
        <v>121</v>
      </c>
      <c r="B24" s="66" t="s">
        <v>122</v>
      </c>
      <c r="C24" s="58" t="s">
        <v>108</v>
      </c>
      <c r="D24" s="63">
        <f>D9*0.7</f>
        <v>353858.19</v>
      </c>
      <c r="E24" s="63">
        <f>E9*0.7</f>
        <v>353858.19</v>
      </c>
      <c r="F24" t="s">
        <v>80</v>
      </c>
    </row>
    <row r="25" spans="1:5" ht="19.5" customHeight="1">
      <c r="A25" s="65" t="s">
        <v>123</v>
      </c>
      <c r="B25" s="57" t="s">
        <v>124</v>
      </c>
      <c r="C25" s="58" t="s">
        <v>108</v>
      </c>
      <c r="D25" s="67">
        <v>243310</v>
      </c>
      <c r="E25" s="67">
        <v>243310</v>
      </c>
    </row>
    <row r="26" spans="1:5" ht="18.75" customHeight="1" hidden="1">
      <c r="A26" s="68" t="s">
        <v>125</v>
      </c>
      <c r="B26" s="57" t="s">
        <v>126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127</v>
      </c>
      <c r="C27" s="58" t="s">
        <v>108</v>
      </c>
      <c r="D27" s="63">
        <f>D23+D24+D25+D26</f>
        <v>652774.477</v>
      </c>
      <c r="E27" s="63">
        <f>E23+E24+E25+E26</f>
        <v>652774.477</v>
      </c>
    </row>
    <row r="28" spans="1:5" ht="17.25" customHeight="1">
      <c r="A28" s="61" t="s">
        <v>61</v>
      </c>
      <c r="B28" s="57" t="s">
        <v>128</v>
      </c>
      <c r="C28" s="50" t="s">
        <v>108</v>
      </c>
      <c r="D28" s="59">
        <f>D20-D27</f>
        <v>-112151.22699999996</v>
      </c>
      <c r="E28" s="59">
        <f>E20-E27</f>
        <v>-134579.74699999992</v>
      </c>
    </row>
    <row r="29" spans="1:5" ht="31.5">
      <c r="A29" s="65" t="s">
        <v>129</v>
      </c>
      <c r="B29" s="66" t="s">
        <v>130</v>
      </c>
      <c r="C29" s="50" t="s">
        <v>108</v>
      </c>
      <c r="D29" s="59">
        <f>D28-D21</f>
        <v>-156401.547</v>
      </c>
      <c r="E29" s="59">
        <f>E28-E21</f>
        <v>-178437.49699999994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90" t="s">
        <v>131</v>
      </c>
      <c r="C34" s="190"/>
      <c r="D34" s="44" t="s">
        <v>80</v>
      </c>
    </row>
    <row r="35" spans="2:4" ht="17.25" customHeight="1">
      <c r="B35" s="191" t="s">
        <v>132</v>
      </c>
      <c r="C35" s="191"/>
      <c r="D35" s="191"/>
    </row>
    <row r="38" ht="15.75">
      <c r="B38" t="s">
        <v>80</v>
      </c>
    </row>
    <row r="41" ht="15.75">
      <c r="B41" t="s">
        <v>80</v>
      </c>
    </row>
    <row r="43" ht="15.75">
      <c r="B43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25">
      <selection activeCell="B40" sqref="B40:E45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86" t="s">
        <v>85</v>
      </c>
      <c r="B1" s="186"/>
      <c r="C1" s="186"/>
      <c r="D1" s="186"/>
      <c r="E1" s="186"/>
      <c r="F1" s="186"/>
      <c r="G1" s="186"/>
      <c r="H1" s="186"/>
    </row>
    <row r="2" spans="1:8" ht="78" customHeight="1">
      <c r="A2" s="198" t="s">
        <v>84</v>
      </c>
      <c r="B2" s="198"/>
      <c r="C2" s="198"/>
      <c r="D2" s="198"/>
      <c r="E2" s="198"/>
      <c r="F2" s="198"/>
      <c r="G2" s="198"/>
      <c r="H2" s="198"/>
    </row>
    <row r="3" spans="1:6" ht="18.75">
      <c r="A3" s="1" t="s">
        <v>77</v>
      </c>
      <c r="B3" s="1" t="s">
        <v>83</v>
      </c>
      <c r="C3" s="2"/>
      <c r="D3" s="2" t="s">
        <v>0</v>
      </c>
      <c r="E3" s="4">
        <v>5572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108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92"/>
      <c r="C7" s="192"/>
      <c r="D7" s="192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93" t="s">
        <v>64</v>
      </c>
      <c r="C8" s="194"/>
      <c r="D8" s="194"/>
      <c r="E8" s="194"/>
      <c r="F8" s="195"/>
      <c r="G8" s="15"/>
      <c r="H8" s="16"/>
    </row>
    <row r="9" spans="1:8" ht="15.75" customHeight="1">
      <c r="A9" s="23"/>
      <c r="B9" s="201" t="s">
        <v>73</v>
      </c>
      <c r="C9" s="201"/>
      <c r="D9" s="201"/>
      <c r="E9" s="201"/>
      <c r="F9" s="201"/>
      <c r="G9" s="15"/>
      <c r="H9" s="32">
        <v>72128.44</v>
      </c>
    </row>
    <row r="10" spans="1:8" ht="15.75">
      <c r="A10" s="23">
        <v>1</v>
      </c>
      <c r="B10" s="197" t="s">
        <v>62</v>
      </c>
      <c r="C10" s="197"/>
      <c r="D10" s="197"/>
      <c r="E10" s="197"/>
      <c r="F10" s="197"/>
      <c r="G10" s="17"/>
      <c r="H10" s="35">
        <v>826226.17</v>
      </c>
    </row>
    <row r="11" spans="1:8" ht="15.75">
      <c r="A11" s="23"/>
      <c r="B11" s="197" t="s">
        <v>75</v>
      </c>
      <c r="C11" s="197"/>
      <c r="D11" s="197"/>
      <c r="E11" s="197"/>
      <c r="F11" s="197"/>
      <c r="G11" s="17"/>
      <c r="H11" s="49">
        <f>H10*0.9</f>
        <v>743603.5530000001</v>
      </c>
    </row>
    <row r="12" spans="1:8" ht="15.75">
      <c r="A12" s="23"/>
      <c r="B12" s="197" t="s">
        <v>76</v>
      </c>
      <c r="C12" s="197"/>
      <c r="D12" s="197"/>
      <c r="E12" s="197"/>
      <c r="F12" s="197"/>
      <c r="G12" s="17"/>
      <c r="H12" s="36">
        <f>H10-H11</f>
        <v>82622.61699999997</v>
      </c>
    </row>
    <row r="13" spans="1:8" ht="15.75">
      <c r="A13" s="23">
        <v>2</v>
      </c>
      <c r="B13" s="197" t="s">
        <v>63</v>
      </c>
      <c r="C13" s="197"/>
      <c r="D13" s="197"/>
      <c r="E13" s="197"/>
      <c r="F13" s="197"/>
      <c r="G13" s="17"/>
      <c r="H13" s="18">
        <v>773130.66</v>
      </c>
    </row>
    <row r="14" spans="1:8" ht="15.75">
      <c r="A14" s="23">
        <v>3</v>
      </c>
      <c r="B14" s="197" t="s">
        <v>67</v>
      </c>
      <c r="C14" s="197"/>
      <c r="D14" s="197"/>
      <c r="E14" s="197"/>
      <c r="F14" s="197"/>
      <c r="G14" s="17"/>
      <c r="H14" s="36">
        <f>H10-H13</f>
        <v>53095.51000000001</v>
      </c>
    </row>
    <row r="15" spans="1:9" ht="15.75">
      <c r="A15" s="23">
        <v>4</v>
      </c>
      <c r="B15" s="201" t="s">
        <v>74</v>
      </c>
      <c r="C15" s="201"/>
      <c r="D15" s="201"/>
      <c r="E15" s="201"/>
      <c r="F15" s="201"/>
      <c r="G15" s="17"/>
      <c r="H15" s="37">
        <f>H9+H10-H13</f>
        <v>125223.95000000007</v>
      </c>
      <c r="I15" s="31"/>
    </row>
    <row r="16" spans="1:8" ht="18.75">
      <c r="A16" s="23">
        <v>5</v>
      </c>
      <c r="B16" s="180" t="s">
        <v>65</v>
      </c>
      <c r="C16" s="180"/>
      <c r="D16" s="180"/>
      <c r="E16" s="180"/>
      <c r="F16" s="180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99" t="s">
        <v>18</v>
      </c>
      <c r="C18" s="199"/>
      <c r="D18" s="199"/>
      <c r="E18" s="6" t="s">
        <v>32</v>
      </c>
      <c r="F18" s="6" t="s">
        <v>24</v>
      </c>
      <c r="G18" s="12">
        <v>1.06</v>
      </c>
      <c r="H18" s="39">
        <f>ROUND(G18*$E$3*12,2)</f>
        <v>70875.84</v>
      </c>
    </row>
    <row r="19" spans="1:8" ht="15.75">
      <c r="A19" s="23" t="s">
        <v>41</v>
      </c>
      <c r="B19" s="199" t="s">
        <v>17</v>
      </c>
      <c r="C19" s="199"/>
      <c r="D19" s="199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17384.64</v>
      </c>
    </row>
    <row r="20" spans="1:8" ht="15.75">
      <c r="A20" s="26" t="s">
        <v>42</v>
      </c>
      <c r="B20" s="197" t="s">
        <v>23</v>
      </c>
      <c r="C20" s="197"/>
      <c r="D20" s="197"/>
      <c r="E20" s="7" t="s">
        <v>8</v>
      </c>
      <c r="F20" s="7" t="s">
        <v>20</v>
      </c>
      <c r="G20" s="12">
        <v>0.9</v>
      </c>
      <c r="H20" s="39">
        <f t="shared" si="0"/>
        <v>60177.6</v>
      </c>
    </row>
    <row r="21" spans="1:8" ht="33" customHeight="1">
      <c r="A21" s="23" t="s">
        <v>43</v>
      </c>
      <c r="B21" s="196" t="s">
        <v>31</v>
      </c>
      <c r="C21" s="196"/>
      <c r="D21" s="196"/>
      <c r="E21" s="8" t="s">
        <v>9</v>
      </c>
      <c r="F21" s="8" t="s">
        <v>10</v>
      </c>
      <c r="G21" s="12">
        <v>0.46</v>
      </c>
      <c r="H21" s="39">
        <f t="shared" si="0"/>
        <v>30757.44</v>
      </c>
    </row>
    <row r="22" spans="1:8" ht="63">
      <c r="A22" s="26" t="s">
        <v>46</v>
      </c>
      <c r="B22" s="197" t="s">
        <v>27</v>
      </c>
      <c r="C22" s="197"/>
      <c r="D22" s="197"/>
      <c r="E22" s="7" t="s">
        <v>34</v>
      </c>
      <c r="F22" s="7" t="s">
        <v>25</v>
      </c>
      <c r="G22" s="12">
        <v>0.11</v>
      </c>
      <c r="H22" s="39">
        <f t="shared" si="0"/>
        <v>7355.04</v>
      </c>
    </row>
    <row r="23" spans="1:8" ht="31.5">
      <c r="A23" s="23" t="s">
        <v>44</v>
      </c>
      <c r="B23" s="197" t="s">
        <v>11</v>
      </c>
      <c r="C23" s="197"/>
      <c r="D23" s="197"/>
      <c r="E23" s="7" t="s">
        <v>9</v>
      </c>
      <c r="F23" s="7" t="s">
        <v>12</v>
      </c>
      <c r="G23" s="12">
        <v>1.89</v>
      </c>
      <c r="H23" s="39">
        <f t="shared" si="0"/>
        <v>126372.96</v>
      </c>
    </row>
    <row r="24" spans="1:8" ht="15.75">
      <c r="A24" s="26" t="s">
        <v>45</v>
      </c>
      <c r="B24" s="197" t="s">
        <v>26</v>
      </c>
      <c r="C24" s="200"/>
      <c r="D24" s="200"/>
      <c r="E24" s="9" t="s">
        <v>13</v>
      </c>
      <c r="F24" s="9" t="s">
        <v>14</v>
      </c>
      <c r="G24" s="12">
        <v>0.04</v>
      </c>
      <c r="H24" s="39">
        <f t="shared" si="0"/>
        <v>2674.56</v>
      </c>
    </row>
    <row r="25" spans="1:8" ht="36.75" customHeight="1">
      <c r="A25" s="23" t="s">
        <v>47</v>
      </c>
      <c r="B25" s="181" t="s">
        <v>81</v>
      </c>
      <c r="C25" s="182"/>
      <c r="D25" s="183"/>
      <c r="E25" s="9" t="s">
        <v>13</v>
      </c>
      <c r="F25" s="45" t="s">
        <v>82</v>
      </c>
      <c r="G25" s="12">
        <v>0.22</v>
      </c>
      <c r="H25" s="39">
        <f t="shared" si="0"/>
        <v>14710.08</v>
      </c>
    </row>
    <row r="26" spans="1:8" ht="31.5">
      <c r="A26" s="26" t="s">
        <v>48</v>
      </c>
      <c r="B26" s="197" t="s">
        <v>71</v>
      </c>
      <c r="C26" s="197"/>
      <c r="D26" s="197"/>
      <c r="E26" s="6" t="s">
        <v>35</v>
      </c>
      <c r="F26" s="46" t="s">
        <v>82</v>
      </c>
      <c r="G26" s="12">
        <v>2.5</v>
      </c>
      <c r="H26" s="39">
        <f t="shared" si="0"/>
        <v>167160</v>
      </c>
    </row>
    <row r="27" spans="1:8" ht="31.5">
      <c r="A27" s="23" t="s">
        <v>49</v>
      </c>
      <c r="B27" s="199" t="s">
        <v>15</v>
      </c>
      <c r="C27" s="199"/>
      <c r="D27" s="199"/>
      <c r="E27" s="6" t="s">
        <v>35</v>
      </c>
      <c r="F27" s="46" t="s">
        <v>82</v>
      </c>
      <c r="G27" s="12">
        <v>0.46</v>
      </c>
      <c r="H27" s="39">
        <f t="shared" si="0"/>
        <v>30757.44</v>
      </c>
    </row>
    <row r="28" spans="1:8" ht="31.5">
      <c r="A28" s="26" t="s">
        <v>50</v>
      </c>
      <c r="B28" s="184" t="s">
        <v>36</v>
      </c>
      <c r="C28" s="185"/>
      <c r="D28" s="185"/>
      <c r="E28" s="6" t="s">
        <v>35</v>
      </c>
      <c r="F28" s="46" t="s">
        <v>82</v>
      </c>
      <c r="G28" s="48">
        <f>2.14-G29-G30</f>
        <v>1.6400000000000001</v>
      </c>
      <c r="H28" s="39">
        <f t="shared" si="0"/>
        <v>109656.96</v>
      </c>
    </row>
    <row r="29" spans="1:8" ht="31.5">
      <c r="A29" s="23" t="s">
        <v>51</v>
      </c>
      <c r="B29" s="197" t="s">
        <v>28</v>
      </c>
      <c r="C29" s="197"/>
      <c r="D29" s="197"/>
      <c r="E29" s="6" t="s">
        <v>35</v>
      </c>
      <c r="F29" s="46" t="s">
        <v>82</v>
      </c>
      <c r="G29" s="13">
        <v>0.25</v>
      </c>
      <c r="H29" s="39">
        <f t="shared" si="0"/>
        <v>16716</v>
      </c>
    </row>
    <row r="30" spans="1:8" ht="31.5">
      <c r="A30" s="26" t="s">
        <v>52</v>
      </c>
      <c r="B30" s="197" t="s">
        <v>29</v>
      </c>
      <c r="C30" s="197"/>
      <c r="D30" s="197"/>
      <c r="E30" s="6" t="s">
        <v>35</v>
      </c>
      <c r="F30" s="46" t="s">
        <v>82</v>
      </c>
      <c r="G30" s="13">
        <v>0.25</v>
      </c>
      <c r="H30" s="39">
        <f t="shared" si="0"/>
        <v>16716</v>
      </c>
    </row>
    <row r="31" spans="1:8" ht="31.5">
      <c r="A31" s="23" t="s">
        <v>53</v>
      </c>
      <c r="B31" s="200" t="s">
        <v>21</v>
      </c>
      <c r="C31" s="200"/>
      <c r="D31" s="200"/>
      <c r="E31" s="6" t="s">
        <v>35</v>
      </c>
      <c r="F31" s="46" t="s">
        <v>82</v>
      </c>
      <c r="G31" s="9">
        <v>1.26</v>
      </c>
      <c r="H31" s="39">
        <f t="shared" si="0"/>
        <v>84248.64</v>
      </c>
    </row>
    <row r="32" spans="1:8" ht="15.75">
      <c r="A32" s="23" t="s">
        <v>54</v>
      </c>
      <c r="B32" s="178" t="s">
        <v>30</v>
      </c>
      <c r="C32" s="178"/>
      <c r="D32" s="178"/>
      <c r="E32" s="14"/>
      <c r="F32" s="46"/>
      <c r="G32" s="21">
        <f>SUM(G18:G31)</f>
        <v>11.299999999999999</v>
      </c>
      <c r="H32" s="40">
        <f>SUM(H18:H31)</f>
        <v>755563.2</v>
      </c>
    </row>
    <row r="33" spans="1:8" ht="15.75">
      <c r="A33" s="23" t="s">
        <v>55</v>
      </c>
      <c r="B33" s="201" t="s">
        <v>37</v>
      </c>
      <c r="C33" s="200"/>
      <c r="D33" s="200"/>
      <c r="E33" s="14"/>
      <c r="F33" s="46" t="s">
        <v>82</v>
      </c>
      <c r="G33" s="24">
        <f>H33/E3/12</f>
        <v>1.8503230437903806</v>
      </c>
      <c r="H33" s="28">
        <v>123720</v>
      </c>
    </row>
    <row r="34" spans="1:8" ht="18.75">
      <c r="A34" s="25" t="s">
        <v>56</v>
      </c>
      <c r="B34" s="205" t="s">
        <v>69</v>
      </c>
      <c r="C34" s="205"/>
      <c r="D34" s="205"/>
      <c r="E34" s="205"/>
      <c r="F34" s="205"/>
      <c r="G34" s="5">
        <f>SUM(G32:G33)</f>
        <v>13.15032304379038</v>
      </c>
      <c r="H34" s="41">
        <f>SUM(H32:H33)</f>
        <v>879283.2</v>
      </c>
    </row>
    <row r="35" spans="1:8" ht="18.75">
      <c r="A35" s="23" t="s">
        <v>61</v>
      </c>
      <c r="B35" s="202" t="s">
        <v>38</v>
      </c>
      <c r="C35" s="203"/>
      <c r="D35" s="203"/>
      <c r="E35" s="203"/>
      <c r="F35" s="203"/>
      <c r="G35" s="204"/>
      <c r="H35" s="29"/>
    </row>
    <row r="36" spans="1:8" ht="15.75" customHeight="1">
      <c r="A36" s="23" t="s">
        <v>57</v>
      </c>
      <c r="B36" s="179" t="s">
        <v>68</v>
      </c>
      <c r="C36" s="176"/>
      <c r="D36" s="176"/>
      <c r="E36" s="176"/>
      <c r="F36" s="176"/>
      <c r="G36" s="177"/>
      <c r="H36" s="30">
        <v>-178437.5</v>
      </c>
    </row>
    <row r="37" spans="1:8" ht="15.75" customHeight="1">
      <c r="A37" s="23" t="s">
        <v>58</v>
      </c>
      <c r="B37" s="179" t="s">
        <v>72</v>
      </c>
      <c r="C37" s="176"/>
      <c r="D37" s="176"/>
      <c r="E37" s="176"/>
      <c r="F37" s="176"/>
      <c r="G37" s="177"/>
      <c r="H37" s="42">
        <f>H13-H34</f>
        <v>-106152.53999999992</v>
      </c>
    </row>
    <row r="38" spans="1:8" ht="15.75" customHeight="1">
      <c r="A38" s="23" t="s">
        <v>59</v>
      </c>
      <c r="B38" s="179" t="s">
        <v>70</v>
      </c>
      <c r="C38" s="176"/>
      <c r="D38" s="176"/>
      <c r="E38" s="176"/>
      <c r="F38" s="176"/>
      <c r="G38" s="177"/>
      <c r="H38" s="42">
        <f>H36+H37</f>
        <v>-284590.0399999999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86</v>
      </c>
      <c r="C43" s="47"/>
      <c r="D43" s="44"/>
    </row>
    <row r="44" spans="2:4" ht="15.75" customHeight="1">
      <c r="B44" s="191" t="s">
        <v>87</v>
      </c>
      <c r="C44" s="191"/>
      <c r="D44" s="191"/>
    </row>
  </sheetData>
  <sheetProtection/>
  <mergeCells count="34"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22:D22"/>
    <mergeCell ref="B19:D19"/>
    <mergeCell ref="B20:D20"/>
    <mergeCell ref="B18:D18"/>
    <mergeCell ref="A1:H1"/>
    <mergeCell ref="B7:D7"/>
    <mergeCell ref="B8:F8"/>
    <mergeCell ref="B21:D21"/>
    <mergeCell ref="B11:F11"/>
    <mergeCell ref="B12:F12"/>
    <mergeCell ref="B10:F10"/>
    <mergeCell ref="B13:F13"/>
    <mergeCell ref="B14:F14"/>
    <mergeCell ref="A2:H2"/>
  </mergeCells>
  <printOptions/>
  <pageMargins left="0.54" right="0.31" top="0.5" bottom="0.25" header="0.5" footer="0.27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25390625" style="0" customWidth="1"/>
    <col min="6" max="6" width="18.00390625" style="0" hidden="1" customWidth="1"/>
    <col min="7" max="7" width="0.2421875" style="0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86" t="s">
        <v>200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54" customHeight="1">
      <c r="A2" s="206" t="s">
        <v>203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9" ht="18.75">
      <c r="A3" s="1" t="s">
        <v>77</v>
      </c>
      <c r="B3" s="1" t="s">
        <v>83</v>
      </c>
      <c r="C3" s="2"/>
      <c r="D3" s="2" t="s">
        <v>0</v>
      </c>
      <c r="E3" s="4">
        <v>5572</v>
      </c>
      <c r="F3" s="2"/>
      <c r="I3" s="87">
        <v>98.7</v>
      </c>
    </row>
    <row r="4" spans="2:9" ht="15.75">
      <c r="B4" s="3" t="s">
        <v>1</v>
      </c>
      <c r="C4" s="133">
        <v>9</v>
      </c>
      <c r="D4" s="2" t="s">
        <v>2</v>
      </c>
      <c r="E4" s="4">
        <v>108</v>
      </c>
      <c r="F4" s="2"/>
      <c r="I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207" t="s">
        <v>141</v>
      </c>
      <c r="C7" s="208"/>
      <c r="D7" s="209"/>
      <c r="E7" s="11" t="s">
        <v>6</v>
      </c>
      <c r="F7" s="11" t="s">
        <v>7</v>
      </c>
      <c r="G7" s="33" t="s">
        <v>22</v>
      </c>
      <c r="H7" s="210" t="s">
        <v>142</v>
      </c>
      <c r="I7" s="211"/>
      <c r="J7" s="212"/>
    </row>
    <row r="8" spans="1:10" ht="15.75">
      <c r="A8" s="23">
        <v>1</v>
      </c>
      <c r="B8" s="193"/>
      <c r="C8" s="194"/>
      <c r="D8" s="194"/>
      <c r="E8" s="194"/>
      <c r="F8" s="195"/>
      <c r="G8" s="89"/>
      <c r="H8" s="90" t="s">
        <v>143</v>
      </c>
      <c r="I8" s="91" t="s">
        <v>144</v>
      </c>
      <c r="J8" s="91" t="s">
        <v>145</v>
      </c>
    </row>
    <row r="9" spans="1:10" ht="15.75">
      <c r="A9" s="23"/>
      <c r="B9" s="193" t="s">
        <v>146</v>
      </c>
      <c r="C9" s="194"/>
      <c r="D9" s="194"/>
      <c r="E9" s="194"/>
      <c r="F9" s="195"/>
      <c r="G9" s="78"/>
      <c r="H9" s="78"/>
      <c r="I9" s="58"/>
      <c r="J9" s="91"/>
    </row>
    <row r="10" spans="1:10" ht="15.75" customHeight="1">
      <c r="A10" s="92"/>
      <c r="B10" s="213" t="s">
        <v>147</v>
      </c>
      <c r="C10" s="213"/>
      <c r="D10" s="213"/>
      <c r="E10" s="213"/>
      <c r="F10" s="213"/>
      <c r="G10" s="15"/>
      <c r="H10" s="93">
        <v>809505.71</v>
      </c>
      <c r="I10" s="75"/>
      <c r="J10" s="94">
        <f>H10+I10</f>
        <v>809505.71</v>
      </c>
    </row>
    <row r="11" spans="1:10" ht="15.75" customHeight="1">
      <c r="A11" s="92"/>
      <c r="B11" s="213" t="s">
        <v>148</v>
      </c>
      <c r="C11" s="213"/>
      <c r="D11" s="213"/>
      <c r="E11" s="213"/>
      <c r="F11" s="213"/>
      <c r="G11" s="15"/>
      <c r="H11" s="16">
        <v>31372.51</v>
      </c>
      <c r="I11" s="75"/>
      <c r="J11" s="94">
        <f>H11+I11</f>
        <v>31372.51</v>
      </c>
    </row>
    <row r="12" spans="1:10" ht="15.75" customHeight="1">
      <c r="A12" s="23"/>
      <c r="B12" s="213" t="s">
        <v>149</v>
      </c>
      <c r="C12" s="213"/>
      <c r="D12" s="213"/>
      <c r="E12" s="213"/>
      <c r="F12" s="213"/>
      <c r="G12" s="15"/>
      <c r="H12" s="93"/>
      <c r="I12" s="75">
        <v>8951.64</v>
      </c>
      <c r="J12" s="94">
        <f>H12+I12</f>
        <v>8951.64</v>
      </c>
    </row>
    <row r="13" spans="1:10" ht="15.75" customHeight="1">
      <c r="A13" s="23"/>
      <c r="B13" s="213" t="s">
        <v>150</v>
      </c>
      <c r="C13" s="213"/>
      <c r="D13" s="213"/>
      <c r="E13" s="213"/>
      <c r="F13" s="213"/>
      <c r="G13" s="15"/>
      <c r="H13" s="93"/>
      <c r="I13" s="95">
        <v>0</v>
      </c>
      <c r="J13" s="94">
        <f>H13+I13</f>
        <v>0</v>
      </c>
    </row>
    <row r="14" spans="1:10" ht="15.75" customHeight="1">
      <c r="A14" s="23"/>
      <c r="B14" s="201" t="s">
        <v>151</v>
      </c>
      <c r="C14" s="201"/>
      <c r="D14" s="201"/>
      <c r="E14" s="201"/>
      <c r="F14" s="201"/>
      <c r="G14" s="15"/>
      <c r="H14" s="96">
        <f>SUM(H10:H12)</f>
        <v>840878.22</v>
      </c>
      <c r="I14" s="97">
        <f>SUM(I10:I12)</f>
        <v>8951.64</v>
      </c>
      <c r="J14" s="96">
        <f>SUM(J10:J12)</f>
        <v>849829.86</v>
      </c>
    </row>
    <row r="15" spans="1:10" ht="18.75" customHeight="1">
      <c r="A15" s="23">
        <v>2</v>
      </c>
      <c r="B15" s="180" t="s">
        <v>65</v>
      </c>
      <c r="C15" s="180"/>
      <c r="D15" s="180"/>
      <c r="E15" s="180"/>
      <c r="F15" s="180"/>
      <c r="G15" s="15"/>
      <c r="H15" s="93"/>
      <c r="I15" s="75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15.75" customHeight="1">
      <c r="A17" s="26"/>
      <c r="B17" s="214" t="s">
        <v>153</v>
      </c>
      <c r="C17" s="214"/>
      <c r="D17" s="214"/>
      <c r="E17" s="98" t="s">
        <v>32</v>
      </c>
      <c r="F17" s="80" t="s">
        <v>24</v>
      </c>
      <c r="G17" s="81">
        <v>1.06</v>
      </c>
      <c r="H17" s="99">
        <f>ROUND(G17*$E$3*12,2)</f>
        <v>70875.84</v>
      </c>
      <c r="I17" s="100">
        <f>$I$12*0.08</f>
        <v>716.1311999999999</v>
      </c>
      <c r="J17" s="101">
        <f>SUM(H17:I17)</f>
        <v>71591.9712</v>
      </c>
    </row>
    <row r="18" spans="1:10" ht="36" customHeight="1">
      <c r="A18" s="23"/>
      <c r="B18" s="215" t="s">
        <v>17</v>
      </c>
      <c r="C18" s="215"/>
      <c r="D18" s="215"/>
      <c r="E18" s="98" t="s">
        <v>32</v>
      </c>
      <c r="F18" s="80" t="s">
        <v>19</v>
      </c>
      <c r="G18" s="81">
        <v>0.26</v>
      </c>
      <c r="H18" s="99">
        <f>ROUND(G18*$E$3*12,2)</f>
        <v>17384.64</v>
      </c>
      <c r="I18" s="100">
        <f>$I$12*0.02</f>
        <v>179.03279999999998</v>
      </c>
      <c r="J18" s="101">
        <f>SUM(H18:I18)</f>
        <v>17563.6728</v>
      </c>
    </row>
    <row r="19" spans="1:10" ht="20.25" customHeight="1">
      <c r="A19" s="23"/>
      <c r="B19" s="216" t="s">
        <v>23</v>
      </c>
      <c r="C19" s="216"/>
      <c r="D19" s="216"/>
      <c r="E19" s="102" t="s">
        <v>154</v>
      </c>
      <c r="F19" s="83" t="s">
        <v>20</v>
      </c>
      <c r="G19" s="81">
        <v>0.9</v>
      </c>
      <c r="H19" s="99">
        <f>J19-I19</f>
        <v>52557.3152</v>
      </c>
      <c r="I19" s="100">
        <f>$I$12*0.07</f>
        <v>626.6148000000001</v>
      </c>
      <c r="J19" s="103">
        <v>53183.93</v>
      </c>
    </row>
    <row r="20" spans="1:10" ht="20.25" customHeight="1">
      <c r="A20" s="26"/>
      <c r="B20" s="214" t="s">
        <v>31</v>
      </c>
      <c r="C20" s="214"/>
      <c r="D20" s="214"/>
      <c r="E20" s="104" t="s">
        <v>9</v>
      </c>
      <c r="F20" s="84" t="s">
        <v>10</v>
      </c>
      <c r="G20" s="81">
        <v>0.46</v>
      </c>
      <c r="H20" s="99">
        <f>ROUND(G20*$E$3*12,2)</f>
        <v>30757.44</v>
      </c>
      <c r="I20" s="100">
        <f>$I$12*0.04</f>
        <v>358.06559999999996</v>
      </c>
      <c r="J20" s="101">
        <f>SUM(H20:I20)</f>
        <v>31115.5056</v>
      </c>
    </row>
    <row r="21" spans="1:10" ht="65.25" customHeight="1">
      <c r="A21" s="23"/>
      <c r="B21" s="216" t="s">
        <v>27</v>
      </c>
      <c r="C21" s="216"/>
      <c r="D21" s="216"/>
      <c r="E21" s="102" t="s">
        <v>155</v>
      </c>
      <c r="F21" s="83" t="s">
        <v>25</v>
      </c>
      <c r="G21" s="81">
        <v>0.11</v>
      </c>
      <c r="H21" s="99">
        <f>J21-I21</f>
        <v>3839.0336</v>
      </c>
      <c r="I21" s="100">
        <f>$I$12*0.01</f>
        <v>89.51639999999999</v>
      </c>
      <c r="J21" s="103">
        <v>3928.55</v>
      </c>
    </row>
    <row r="22" spans="1:10" ht="20.25" customHeight="1">
      <c r="A22" s="26"/>
      <c r="B22" s="216" t="s">
        <v>11</v>
      </c>
      <c r="C22" s="216"/>
      <c r="D22" s="216"/>
      <c r="E22" s="102" t="s">
        <v>9</v>
      </c>
      <c r="F22" s="83" t="s">
        <v>12</v>
      </c>
      <c r="G22" s="81">
        <v>1.93</v>
      </c>
      <c r="H22" s="99">
        <f>J22-I22</f>
        <v>127704.77399999999</v>
      </c>
      <c r="I22" s="100">
        <f>$I$12*0.15</f>
        <v>1342.7459999999999</v>
      </c>
      <c r="J22" s="103">
        <f>G22*E3*12</f>
        <v>129047.51999999999</v>
      </c>
    </row>
    <row r="23" spans="1:10" ht="31.5" customHeight="1">
      <c r="A23" s="26"/>
      <c r="B23" s="216" t="s">
        <v>26</v>
      </c>
      <c r="C23" s="217"/>
      <c r="D23" s="217"/>
      <c r="E23" s="105" t="s">
        <v>13</v>
      </c>
      <c r="F23" s="77" t="s">
        <v>14</v>
      </c>
      <c r="G23" s="81">
        <v>0.04</v>
      </c>
      <c r="H23" s="99">
        <f>J23-I23</f>
        <v>3001.5150799999997</v>
      </c>
      <c r="I23" s="100">
        <f>$I$12*0.003</f>
        <v>26.85492</v>
      </c>
      <c r="J23" s="103">
        <v>3028.37</v>
      </c>
    </row>
    <row r="24" spans="1:10" ht="28.5" customHeight="1">
      <c r="A24" s="23"/>
      <c r="B24" s="216" t="s">
        <v>71</v>
      </c>
      <c r="C24" s="216"/>
      <c r="D24" s="216"/>
      <c r="E24" s="98" t="s">
        <v>35</v>
      </c>
      <c r="F24" s="46" t="s">
        <v>82</v>
      </c>
      <c r="G24" s="81">
        <v>1.87</v>
      </c>
      <c r="H24" s="99">
        <f aca="true" t="shared" si="0" ref="H24:H29">ROUND(G24*$E$3*12,2)</f>
        <v>125035.68</v>
      </c>
      <c r="I24" s="100">
        <f>$I$12*0.19</f>
        <v>1700.8116</v>
      </c>
      <c r="J24" s="101">
        <f aca="true" t="shared" si="1" ref="J24:J29">SUM(H24:I24)</f>
        <v>126736.4916</v>
      </c>
    </row>
    <row r="25" spans="1:10" ht="26.25" customHeight="1">
      <c r="A25" s="23"/>
      <c r="B25" s="215" t="s">
        <v>15</v>
      </c>
      <c r="C25" s="215"/>
      <c r="D25" s="215"/>
      <c r="E25" s="98" t="s">
        <v>35</v>
      </c>
      <c r="F25" s="46" t="s">
        <v>82</v>
      </c>
      <c r="G25" s="81">
        <v>0.46</v>
      </c>
      <c r="H25" s="106">
        <f t="shared" si="0"/>
        <v>30757.44</v>
      </c>
      <c r="I25" s="100">
        <v>0</v>
      </c>
      <c r="J25" s="101">
        <f t="shared" si="1"/>
        <v>30757.44</v>
      </c>
    </row>
    <row r="26" spans="1:10" ht="30" customHeight="1">
      <c r="A26" s="23"/>
      <c r="B26" s="221" t="s">
        <v>36</v>
      </c>
      <c r="C26" s="222"/>
      <c r="D26" s="223"/>
      <c r="E26" s="98" t="s">
        <v>35</v>
      </c>
      <c r="F26" s="46" t="s">
        <v>82</v>
      </c>
      <c r="G26" s="48">
        <f>2.99-G27-G28</f>
        <v>2.49</v>
      </c>
      <c r="H26" s="106">
        <f t="shared" si="0"/>
        <v>166491.36</v>
      </c>
      <c r="I26" s="107">
        <f>$I$12*0.18</f>
        <v>1611.2951999999998</v>
      </c>
      <c r="J26" s="101">
        <f t="shared" si="1"/>
        <v>168102.65519999998</v>
      </c>
    </row>
    <row r="27" spans="1:10" ht="26.25" customHeight="1">
      <c r="A27" s="26"/>
      <c r="B27" s="216" t="s">
        <v>156</v>
      </c>
      <c r="C27" s="216"/>
      <c r="D27" s="216"/>
      <c r="E27" s="98" t="s">
        <v>35</v>
      </c>
      <c r="F27" s="46" t="s">
        <v>82</v>
      </c>
      <c r="G27" s="48">
        <v>0.25</v>
      </c>
      <c r="H27" s="106">
        <f t="shared" si="0"/>
        <v>16716</v>
      </c>
      <c r="I27" s="107">
        <f>$I$12*0.02</f>
        <v>179.03279999999998</v>
      </c>
      <c r="J27" s="101">
        <f t="shared" si="1"/>
        <v>16895.0328</v>
      </c>
    </row>
    <row r="28" spans="1:10" ht="28.5" customHeight="1">
      <c r="A28" s="23"/>
      <c r="B28" s="216" t="s">
        <v>157</v>
      </c>
      <c r="C28" s="216"/>
      <c r="D28" s="216"/>
      <c r="E28" s="102" t="s">
        <v>9</v>
      </c>
      <c r="F28" s="46" t="s">
        <v>82</v>
      </c>
      <c r="G28" s="48">
        <v>0.25</v>
      </c>
      <c r="H28" s="106">
        <f t="shared" si="0"/>
        <v>16716</v>
      </c>
      <c r="I28" s="107">
        <v>0</v>
      </c>
      <c r="J28" s="101">
        <f t="shared" si="1"/>
        <v>16716</v>
      </c>
    </row>
    <row r="29" spans="1:10" ht="27" customHeight="1">
      <c r="A29" s="23"/>
      <c r="B29" s="217" t="s">
        <v>21</v>
      </c>
      <c r="C29" s="217"/>
      <c r="D29" s="217"/>
      <c r="E29" s="102" t="s">
        <v>9</v>
      </c>
      <c r="F29" s="46" t="s">
        <v>82</v>
      </c>
      <c r="G29" s="77">
        <v>1.26</v>
      </c>
      <c r="H29" s="99">
        <f t="shared" si="0"/>
        <v>84248.64</v>
      </c>
      <c r="I29" s="100">
        <f>$I$12*0.1</f>
        <v>895.164</v>
      </c>
      <c r="J29" s="101">
        <f t="shared" si="1"/>
        <v>85143.804</v>
      </c>
    </row>
    <row r="30" spans="1:10" ht="21.75" customHeight="1">
      <c r="A30" s="23"/>
      <c r="B30" s="218" t="s">
        <v>158</v>
      </c>
      <c r="C30" s="219"/>
      <c r="D30" s="220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218" t="s">
        <v>159</v>
      </c>
      <c r="C31" s="219"/>
      <c r="D31" s="220"/>
      <c r="E31" s="98" t="s">
        <v>35</v>
      </c>
      <c r="F31" s="46"/>
      <c r="G31" s="77"/>
      <c r="H31" s="106"/>
      <c r="I31" s="95"/>
      <c r="J31" s="108"/>
    </row>
    <row r="32" spans="1:10" ht="15.75">
      <c r="A32" s="23"/>
      <c r="B32" s="229"/>
      <c r="C32" s="222"/>
      <c r="D32" s="223"/>
      <c r="E32" s="102"/>
      <c r="F32" s="46"/>
      <c r="G32" s="77"/>
      <c r="H32" s="106"/>
      <c r="I32" s="95"/>
      <c r="J32" s="108"/>
    </row>
    <row r="33" spans="1:10" ht="15.75">
      <c r="A33" s="23"/>
      <c r="B33" s="229"/>
      <c r="C33" s="222"/>
      <c r="D33" s="223"/>
      <c r="E33" s="102"/>
      <c r="F33" s="46"/>
      <c r="G33" s="77"/>
      <c r="H33" s="106"/>
      <c r="I33" s="95"/>
      <c r="J33" s="108"/>
    </row>
    <row r="34" spans="1:10" ht="15.75">
      <c r="A34" s="23"/>
      <c r="B34" s="178" t="s">
        <v>30</v>
      </c>
      <c r="C34" s="178"/>
      <c r="D34" s="178"/>
      <c r="E34" s="14"/>
      <c r="F34" s="46"/>
      <c r="G34" s="21">
        <f>SUM(G17:G29)</f>
        <v>11.34</v>
      </c>
      <c r="H34" s="40">
        <f>SUM(H17:H33)</f>
        <v>746085.67788</v>
      </c>
      <c r="I34" s="109">
        <f>SUM(I17:I33)</f>
        <v>7725.2653199999995</v>
      </c>
      <c r="J34" s="40">
        <f>SUM(J17:J33)</f>
        <v>753810.9432</v>
      </c>
    </row>
    <row r="35" spans="1:10" ht="15" customHeight="1">
      <c r="A35" s="23" t="s">
        <v>160</v>
      </c>
      <c r="B35" s="230" t="s">
        <v>161</v>
      </c>
      <c r="C35" s="231"/>
      <c r="D35" s="231"/>
      <c r="E35" s="232"/>
      <c r="F35" s="46" t="s">
        <v>82</v>
      </c>
      <c r="G35" s="24">
        <f>H35/E3/12</f>
        <v>1.0812993539124192</v>
      </c>
      <c r="H35" s="28">
        <v>72300</v>
      </c>
      <c r="I35" s="110">
        <v>0</v>
      </c>
      <c r="J35" s="96">
        <f>SUM(H35:I35)</f>
        <v>72300</v>
      </c>
    </row>
    <row r="36" spans="1:10" ht="14.25" customHeight="1">
      <c r="A36" s="25"/>
      <c r="B36" s="224" t="s">
        <v>69</v>
      </c>
      <c r="C36" s="224"/>
      <c r="D36" s="224"/>
      <c r="E36" s="224"/>
      <c r="F36" s="224"/>
      <c r="G36" s="5">
        <f>SUM(G34:G35)</f>
        <v>12.421299353912419</v>
      </c>
      <c r="H36" s="41">
        <f>SUM(H34:H35)</f>
        <v>818385.67788</v>
      </c>
      <c r="I36" s="111">
        <f>SUM(I34:I35)</f>
        <v>7725.2653199999995</v>
      </c>
      <c r="J36" s="41">
        <f>SUM(J34:J35)</f>
        <v>826110.9432</v>
      </c>
    </row>
    <row r="37" spans="1:10" ht="15.75">
      <c r="A37" s="23" t="s">
        <v>162</v>
      </c>
      <c r="B37" s="225" t="s">
        <v>163</v>
      </c>
      <c r="C37" s="225"/>
      <c r="D37" s="225"/>
      <c r="E37" s="225"/>
      <c r="F37" s="225"/>
      <c r="G37" s="112"/>
      <c r="H37" s="113">
        <v>0</v>
      </c>
      <c r="I37" s="113">
        <v>0</v>
      </c>
      <c r="J37" s="114">
        <f>SUM(H37:I37)</f>
        <v>0</v>
      </c>
    </row>
    <row r="38" spans="1:10" ht="15" customHeight="1">
      <c r="A38" s="25"/>
      <c r="B38" s="224" t="s">
        <v>164</v>
      </c>
      <c r="C38" s="224"/>
      <c r="D38" s="224"/>
      <c r="E38" s="224"/>
      <c r="F38" s="224"/>
      <c r="G38" s="5">
        <f>SUM(G36:G37)</f>
        <v>12.421299353912419</v>
      </c>
      <c r="H38" s="41">
        <f>SUM(H36:H37)</f>
        <v>818385.67788</v>
      </c>
      <c r="I38" s="111">
        <f>SUM(I36:I37)</f>
        <v>7725.2653199999995</v>
      </c>
      <c r="J38" s="41">
        <f>SUM(J36:J37)</f>
        <v>826110.9432</v>
      </c>
    </row>
    <row r="39" spans="1:10" ht="15.75" customHeight="1">
      <c r="A39" s="23">
        <v>3</v>
      </c>
      <c r="B39" s="226" t="s">
        <v>165</v>
      </c>
      <c r="C39" s="227"/>
      <c r="D39" s="227"/>
      <c r="E39" s="227"/>
      <c r="F39" s="227"/>
      <c r="G39" s="228"/>
      <c r="H39" s="115">
        <f>H14-H38</f>
        <v>22492.54212</v>
      </c>
      <c r="I39" s="99">
        <f>I14-I38</f>
        <v>1226.37468</v>
      </c>
      <c r="J39" s="116">
        <f>J14-J38</f>
        <v>23718.916800000006</v>
      </c>
    </row>
    <row r="40" spans="2:6" ht="15.75">
      <c r="B40" s="34"/>
      <c r="F40" s="34"/>
    </row>
    <row r="41" spans="2:6" ht="15.75">
      <c r="B41" s="34" t="s">
        <v>78</v>
      </c>
      <c r="C41" s="34"/>
      <c r="D41" s="34"/>
      <c r="E41" s="34"/>
      <c r="F41" s="34"/>
    </row>
    <row r="42" spans="2:4" ht="15.75">
      <c r="B42" s="34"/>
      <c r="C42" s="34"/>
      <c r="D42" s="34"/>
    </row>
    <row r="43" spans="2:4" ht="15.75">
      <c r="B43" s="127" t="s">
        <v>79</v>
      </c>
      <c r="C43" s="127"/>
      <c r="D43" s="127" t="s">
        <v>80</v>
      </c>
    </row>
    <row r="44" spans="2:5" ht="15.75" customHeight="1">
      <c r="B44" s="34" t="s">
        <v>86</v>
      </c>
      <c r="C44" s="34"/>
      <c r="D44" s="34"/>
      <c r="E44" s="34"/>
    </row>
    <row r="45" spans="2:4" ht="15.75" customHeight="1">
      <c r="B45" s="191" t="s">
        <v>87</v>
      </c>
      <c r="C45" s="191"/>
      <c r="D45" s="191"/>
    </row>
  </sheetData>
  <sheetProtection/>
  <mergeCells count="36">
    <mergeCell ref="B32:D32"/>
    <mergeCell ref="B33:D33"/>
    <mergeCell ref="B34:D34"/>
    <mergeCell ref="B35:E35"/>
    <mergeCell ref="B45:D45"/>
    <mergeCell ref="B36:F36"/>
    <mergeCell ref="B37:F37"/>
    <mergeCell ref="B38:F38"/>
    <mergeCell ref="B39:G39"/>
    <mergeCell ref="B29:D29"/>
    <mergeCell ref="B30:D30"/>
    <mergeCell ref="B31:D31"/>
    <mergeCell ref="B24:D24"/>
    <mergeCell ref="B25:D25"/>
    <mergeCell ref="B26:D26"/>
    <mergeCell ref="B27:D27"/>
    <mergeCell ref="B17:D17"/>
    <mergeCell ref="B18:D18"/>
    <mergeCell ref="B19:D19"/>
    <mergeCell ref="B28:D28"/>
    <mergeCell ref="B20:D20"/>
    <mergeCell ref="B21:D21"/>
    <mergeCell ref="B22:D22"/>
    <mergeCell ref="B23:D23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0.12890625" style="0" customWidth="1"/>
    <col min="8" max="8" width="14.125" style="0" customWidth="1"/>
    <col min="9" max="9" width="9.875" style="0" bestFit="1" customWidth="1"/>
  </cols>
  <sheetData>
    <row r="1" spans="1:8" ht="121.5" customHeight="1">
      <c r="A1" s="186" t="s">
        <v>202</v>
      </c>
      <c r="B1" s="186"/>
      <c r="C1" s="186"/>
      <c r="D1" s="186"/>
      <c r="E1" s="186"/>
      <c r="F1" s="186"/>
      <c r="G1" s="186"/>
      <c r="H1" s="186"/>
    </row>
    <row r="2" spans="1:6" ht="18.75">
      <c r="A2" s="1" t="s">
        <v>77</v>
      </c>
      <c r="B2" s="1" t="s">
        <v>83</v>
      </c>
      <c r="C2" s="2"/>
      <c r="D2" s="2" t="s">
        <v>0</v>
      </c>
      <c r="E2" s="4">
        <v>5572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8" t="s">
        <v>60</v>
      </c>
      <c r="B6" s="233" t="s">
        <v>141</v>
      </c>
      <c r="C6" s="234"/>
      <c r="D6" s="235"/>
      <c r="E6" s="73" t="s">
        <v>6</v>
      </c>
      <c r="F6" s="73" t="s">
        <v>7</v>
      </c>
      <c r="G6" s="119" t="s">
        <v>194</v>
      </c>
      <c r="H6" s="120" t="s">
        <v>133</v>
      </c>
    </row>
    <row r="7" spans="1:8" ht="15.75" customHeight="1">
      <c r="A7" s="74">
        <v>1</v>
      </c>
      <c r="B7" s="236" t="s">
        <v>134</v>
      </c>
      <c r="C7" s="236"/>
      <c r="D7" s="236"/>
      <c r="E7" s="236"/>
      <c r="F7" s="236"/>
      <c r="G7" s="75"/>
      <c r="H7" s="76"/>
    </row>
    <row r="8" spans="1:8" ht="15.75" customHeight="1">
      <c r="A8" s="74"/>
      <c r="B8" s="201" t="s">
        <v>195</v>
      </c>
      <c r="C8" s="201"/>
      <c r="D8" s="201"/>
      <c r="E8" s="201"/>
      <c r="F8" s="201"/>
      <c r="G8" s="24">
        <f>G31</f>
        <v>14.489999999999995</v>
      </c>
      <c r="H8" s="76">
        <f>ROUND($E$2*G8*12,0)</f>
        <v>968859</v>
      </c>
    </row>
    <row r="9" spans="1:8" ht="15.75" customHeight="1">
      <c r="A9" s="74"/>
      <c r="B9" s="237" t="s">
        <v>135</v>
      </c>
      <c r="C9" s="237"/>
      <c r="D9" s="237"/>
      <c r="E9" s="237"/>
      <c r="F9" s="237"/>
      <c r="G9" s="23">
        <v>0.76</v>
      </c>
      <c r="H9" s="76">
        <f>ROUND($E$2*G9*12,0)</f>
        <v>50817</v>
      </c>
    </row>
    <row r="10" spans="1:8" ht="15.75" customHeight="1">
      <c r="A10" s="74">
        <v>2</v>
      </c>
      <c r="B10" s="180" t="s">
        <v>65</v>
      </c>
      <c r="C10" s="180"/>
      <c r="D10" s="180"/>
      <c r="E10" s="180"/>
      <c r="F10" s="180"/>
      <c r="G10" s="77"/>
      <c r="H10" s="76"/>
    </row>
    <row r="11" spans="1:8" ht="18.75" customHeight="1">
      <c r="A11" s="74" t="s">
        <v>152</v>
      </c>
      <c r="B11" s="19" t="s">
        <v>66</v>
      </c>
      <c r="C11" s="19"/>
      <c r="D11" s="19"/>
      <c r="E11" s="19"/>
      <c r="F11" s="5"/>
      <c r="G11" s="78"/>
      <c r="H11" s="76"/>
    </row>
    <row r="12" spans="1:8" ht="29.25" customHeight="1">
      <c r="A12" s="79"/>
      <c r="B12" s="239" t="s">
        <v>153</v>
      </c>
      <c r="C12" s="239"/>
      <c r="D12" s="239"/>
      <c r="E12" s="98" t="s">
        <v>32</v>
      </c>
      <c r="F12" s="80" t="s">
        <v>24</v>
      </c>
      <c r="G12" s="81">
        <v>1.22</v>
      </c>
      <c r="H12" s="82">
        <f aca="true" t="shared" si="0" ref="H12:H31">ROUND($E$2*G12*12,0)</f>
        <v>81574</v>
      </c>
    </row>
    <row r="13" spans="1:9" ht="15.75" customHeight="1">
      <c r="A13" s="79"/>
      <c r="B13" s="239" t="s">
        <v>17</v>
      </c>
      <c r="C13" s="239"/>
      <c r="D13" s="239"/>
      <c r="E13" s="98" t="s">
        <v>32</v>
      </c>
      <c r="F13" s="80" t="s">
        <v>19</v>
      </c>
      <c r="G13" s="81">
        <v>0.28</v>
      </c>
      <c r="H13" s="82">
        <f t="shared" si="0"/>
        <v>18722</v>
      </c>
      <c r="I13" s="31"/>
    </row>
    <row r="14" spans="1:8" ht="18.75" customHeight="1">
      <c r="A14" s="79"/>
      <c r="B14" s="238" t="s">
        <v>23</v>
      </c>
      <c r="C14" s="238"/>
      <c r="D14" s="238"/>
      <c r="E14" s="102" t="s">
        <v>154</v>
      </c>
      <c r="F14" s="83" t="s">
        <v>20</v>
      </c>
      <c r="G14" s="81">
        <v>0.99</v>
      </c>
      <c r="H14" s="82">
        <f t="shared" si="0"/>
        <v>66195</v>
      </c>
    </row>
    <row r="15" spans="1:8" ht="15.75" customHeight="1">
      <c r="A15" s="79"/>
      <c r="B15" s="240" t="s">
        <v>31</v>
      </c>
      <c r="C15" s="240"/>
      <c r="D15" s="240"/>
      <c r="E15" s="104" t="s">
        <v>9</v>
      </c>
      <c r="F15" s="84" t="s">
        <v>10</v>
      </c>
      <c r="G15" s="81">
        <v>0.51</v>
      </c>
      <c r="H15" s="82">
        <f t="shared" si="0"/>
        <v>34101</v>
      </c>
    </row>
    <row r="16" spans="1:8" ht="31.5" customHeight="1">
      <c r="A16" s="79"/>
      <c r="B16" s="238" t="s">
        <v>27</v>
      </c>
      <c r="C16" s="238"/>
      <c r="D16" s="238"/>
      <c r="E16" s="102" t="s">
        <v>155</v>
      </c>
      <c r="F16" s="83" t="s">
        <v>25</v>
      </c>
      <c r="G16" s="81">
        <v>0.12</v>
      </c>
      <c r="H16" s="82">
        <f t="shared" si="0"/>
        <v>8024</v>
      </c>
    </row>
    <row r="17" spans="1:8" ht="15.75" customHeight="1">
      <c r="A17" s="79"/>
      <c r="B17" s="238" t="s">
        <v>11</v>
      </c>
      <c r="C17" s="238"/>
      <c r="D17" s="238"/>
      <c r="E17" s="102" t="s">
        <v>9</v>
      </c>
      <c r="F17" s="83" t="s">
        <v>12</v>
      </c>
      <c r="G17" s="81">
        <v>2.22</v>
      </c>
      <c r="H17" s="82">
        <f t="shared" si="0"/>
        <v>148438</v>
      </c>
    </row>
    <row r="18" spans="1:8" ht="15.75" customHeight="1">
      <c r="A18" s="79"/>
      <c r="B18" s="238" t="s">
        <v>26</v>
      </c>
      <c r="C18" s="241"/>
      <c r="D18" s="241"/>
      <c r="E18" s="105" t="s">
        <v>13</v>
      </c>
      <c r="F18" s="77" t="s">
        <v>136</v>
      </c>
      <c r="G18" s="81">
        <v>0.05</v>
      </c>
      <c r="H18" s="82">
        <f t="shared" si="0"/>
        <v>3343</v>
      </c>
    </row>
    <row r="19" spans="1:8" ht="33" customHeight="1">
      <c r="A19" s="79"/>
      <c r="B19" s="238" t="s">
        <v>71</v>
      </c>
      <c r="C19" s="238"/>
      <c r="D19" s="238"/>
      <c r="E19" s="98" t="s">
        <v>35</v>
      </c>
      <c r="F19" s="83" t="s">
        <v>82</v>
      </c>
      <c r="G19" s="81">
        <v>2.15</v>
      </c>
      <c r="H19" s="82">
        <f t="shared" si="0"/>
        <v>143758</v>
      </c>
    </row>
    <row r="20" spans="1:8" ht="51">
      <c r="A20" s="79"/>
      <c r="B20" s="239" t="s">
        <v>15</v>
      </c>
      <c r="C20" s="239"/>
      <c r="D20" s="239"/>
      <c r="E20" s="98" t="s">
        <v>137</v>
      </c>
      <c r="F20" s="83" t="s">
        <v>82</v>
      </c>
      <c r="G20" s="81">
        <v>0.53</v>
      </c>
      <c r="H20" s="82">
        <f t="shared" si="0"/>
        <v>35438</v>
      </c>
    </row>
    <row r="21" spans="1:8" ht="25.5">
      <c r="A21" s="79"/>
      <c r="B21" s="238" t="s">
        <v>36</v>
      </c>
      <c r="C21" s="241"/>
      <c r="D21" s="241"/>
      <c r="E21" s="98" t="s">
        <v>35</v>
      </c>
      <c r="F21" s="83" t="s">
        <v>82</v>
      </c>
      <c r="G21" s="81">
        <f>3.52-G22-G23</f>
        <v>2.94</v>
      </c>
      <c r="H21" s="82">
        <f t="shared" si="0"/>
        <v>196580</v>
      </c>
    </row>
    <row r="22" spans="1:8" ht="15.75" customHeight="1">
      <c r="A22" s="79"/>
      <c r="B22" s="238" t="s">
        <v>196</v>
      </c>
      <c r="C22" s="238"/>
      <c r="D22" s="238"/>
      <c r="E22" s="102" t="s">
        <v>9</v>
      </c>
      <c r="F22" s="83" t="s">
        <v>82</v>
      </c>
      <c r="G22" s="81">
        <v>0.29</v>
      </c>
      <c r="H22" s="82">
        <f t="shared" si="0"/>
        <v>19391</v>
      </c>
    </row>
    <row r="23" spans="1:8" ht="36.75" customHeight="1">
      <c r="A23" s="79"/>
      <c r="B23" s="238" t="s">
        <v>157</v>
      </c>
      <c r="C23" s="238"/>
      <c r="D23" s="238"/>
      <c r="E23" s="102" t="s">
        <v>9</v>
      </c>
      <c r="F23" s="83" t="s">
        <v>82</v>
      </c>
      <c r="G23" s="81">
        <v>0.29</v>
      </c>
      <c r="H23" s="82">
        <f t="shared" si="0"/>
        <v>19391</v>
      </c>
    </row>
    <row r="24" spans="1:8" ht="25.5">
      <c r="A24" s="79"/>
      <c r="B24" s="241" t="s">
        <v>21</v>
      </c>
      <c r="C24" s="241"/>
      <c r="D24" s="241"/>
      <c r="E24" s="98" t="s">
        <v>35</v>
      </c>
      <c r="F24" s="83" t="s">
        <v>82</v>
      </c>
      <c r="G24" s="81">
        <v>1.45</v>
      </c>
      <c r="H24" s="82">
        <f t="shared" si="0"/>
        <v>96953</v>
      </c>
    </row>
    <row r="25" spans="1:8" ht="15.75">
      <c r="A25" s="23"/>
      <c r="B25" s="218" t="s">
        <v>158</v>
      </c>
      <c r="C25" s="219"/>
      <c r="D25" s="220"/>
      <c r="E25" s="102" t="s">
        <v>9</v>
      </c>
      <c r="F25" s="83"/>
      <c r="G25" s="81"/>
      <c r="H25" s="82"/>
    </row>
    <row r="26" spans="1:8" ht="31.5" customHeight="1">
      <c r="A26" s="23"/>
      <c r="B26" s="218" t="s">
        <v>159</v>
      </c>
      <c r="C26" s="219"/>
      <c r="D26" s="220"/>
      <c r="E26" s="98" t="s">
        <v>35</v>
      </c>
      <c r="F26" s="83"/>
      <c r="G26" s="81"/>
      <c r="H26" s="82"/>
    </row>
    <row r="27" spans="1:8" ht="15.75" customHeight="1">
      <c r="A27" s="79"/>
      <c r="B27" s="229"/>
      <c r="C27" s="222"/>
      <c r="D27" s="223"/>
      <c r="E27" s="98"/>
      <c r="F27" s="83"/>
      <c r="G27" s="81"/>
      <c r="H27" s="82"/>
    </row>
    <row r="28" spans="1:8" ht="15.75">
      <c r="A28" s="79"/>
      <c r="B28" s="229"/>
      <c r="C28" s="222"/>
      <c r="D28" s="223"/>
      <c r="E28" s="98"/>
      <c r="F28" s="83"/>
      <c r="G28" s="81"/>
      <c r="H28" s="82"/>
    </row>
    <row r="29" spans="1:8" ht="15.75">
      <c r="A29" s="79"/>
      <c r="B29" s="246" t="s">
        <v>30</v>
      </c>
      <c r="C29" s="247"/>
      <c r="D29" s="248"/>
      <c r="E29" s="14"/>
      <c r="F29" s="83"/>
      <c r="G29" s="21">
        <f>SUM(G12:G28)</f>
        <v>13.039999999999996</v>
      </c>
      <c r="H29" s="82">
        <f t="shared" si="0"/>
        <v>871907</v>
      </c>
    </row>
    <row r="30" spans="1:8" ht="15.75">
      <c r="A30" s="74" t="s">
        <v>160</v>
      </c>
      <c r="B30" s="230" t="s">
        <v>197</v>
      </c>
      <c r="C30" s="231"/>
      <c r="D30" s="231"/>
      <c r="E30" s="232"/>
      <c r="F30" s="51" t="s">
        <v>138</v>
      </c>
      <c r="G30" s="24">
        <v>1.45</v>
      </c>
      <c r="H30" s="82">
        <f t="shared" si="0"/>
        <v>96953</v>
      </c>
    </row>
    <row r="31" spans="1:8" ht="15.75" customHeight="1">
      <c r="A31" s="74"/>
      <c r="B31" s="242" t="s">
        <v>198</v>
      </c>
      <c r="C31" s="242"/>
      <c r="D31" s="242"/>
      <c r="E31" s="242"/>
      <c r="F31" s="242"/>
      <c r="G31" s="21">
        <f>SUM(G29:G30)</f>
        <v>14.489999999999995</v>
      </c>
      <c r="H31" s="121">
        <f t="shared" si="0"/>
        <v>968859</v>
      </c>
    </row>
    <row r="32" spans="1:8" ht="16.5" thickBot="1">
      <c r="A32" s="122">
        <v>3</v>
      </c>
      <c r="B32" s="243" t="s">
        <v>199</v>
      </c>
      <c r="C32" s="244"/>
      <c r="D32" s="245"/>
      <c r="E32" s="123"/>
      <c r="F32" s="124" t="s">
        <v>138</v>
      </c>
      <c r="G32" s="125">
        <v>0.76</v>
      </c>
      <c r="H32" s="126">
        <f>ROUND($E$2*G32*12,0)</f>
        <v>50817</v>
      </c>
    </row>
    <row r="33" spans="7:8" ht="15.75">
      <c r="G33" s="85"/>
      <c r="H33" s="86"/>
    </row>
    <row r="34" spans="1:8" ht="15.75" customHeight="1">
      <c r="A34" s="43" t="s">
        <v>78</v>
      </c>
      <c r="B34" s="43"/>
      <c r="C34" s="43"/>
      <c r="D34" s="34"/>
      <c r="G34" s="85"/>
      <c r="H34" s="86"/>
    </row>
  </sheetData>
  <sheetProtection/>
  <mergeCells count="27">
    <mergeCell ref="B28:D28"/>
    <mergeCell ref="B21:D21"/>
    <mergeCell ref="B22:D22"/>
    <mergeCell ref="B23:D23"/>
    <mergeCell ref="B24:D24"/>
    <mergeCell ref="B25:D25"/>
    <mergeCell ref="B26:D26"/>
    <mergeCell ref="B27:D27"/>
    <mergeCell ref="B30:E30"/>
    <mergeCell ref="B31:F31"/>
    <mergeCell ref="B32:D32"/>
    <mergeCell ref="B29:D29"/>
    <mergeCell ref="B17:D17"/>
    <mergeCell ref="B18:D18"/>
    <mergeCell ref="B19:D19"/>
    <mergeCell ref="B20:D20"/>
    <mergeCell ref="B9:F9"/>
    <mergeCell ref="B10:F10"/>
    <mergeCell ref="B16:D16"/>
    <mergeCell ref="B13:D13"/>
    <mergeCell ref="B14:D14"/>
    <mergeCell ref="B15:D15"/>
    <mergeCell ref="B12:D12"/>
    <mergeCell ref="A1:H1"/>
    <mergeCell ref="B6:D6"/>
    <mergeCell ref="B7:F7"/>
    <mergeCell ref="B8:F8"/>
  </mergeCells>
  <printOptions/>
  <pageMargins left="1.22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B19">
      <selection activeCell="G17" sqref="G17:G29"/>
    </sheetView>
  </sheetViews>
  <sheetFormatPr defaultColWidth="9.00390625" defaultRowHeight="15.75"/>
  <cols>
    <col min="1" max="1" width="5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125" style="0" customWidth="1"/>
    <col min="6" max="6" width="18.00390625" style="0" hidden="1" customWidth="1"/>
    <col min="7" max="7" width="6.75390625" style="0" bestFit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86" t="s">
        <v>206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54" customHeight="1">
      <c r="A2" s="206" t="s">
        <v>207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9" ht="18.75">
      <c r="A3" s="1" t="s">
        <v>77</v>
      </c>
      <c r="B3" s="1" t="s">
        <v>83</v>
      </c>
      <c r="C3" s="2"/>
      <c r="D3" s="2" t="s">
        <v>0</v>
      </c>
      <c r="E3" s="4">
        <v>5572</v>
      </c>
      <c r="F3" s="2"/>
      <c r="I3" s="87">
        <v>98.7</v>
      </c>
    </row>
    <row r="4" spans="2:9" ht="15.75">
      <c r="B4" s="3" t="s">
        <v>1</v>
      </c>
      <c r="C4" s="133">
        <v>9</v>
      </c>
      <c r="D4" s="2" t="s">
        <v>2</v>
      </c>
      <c r="E4" s="4">
        <v>108</v>
      </c>
      <c r="F4" s="2"/>
      <c r="I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207" t="s">
        <v>141</v>
      </c>
      <c r="C7" s="208"/>
      <c r="D7" s="209"/>
      <c r="E7" s="11" t="s">
        <v>6</v>
      </c>
      <c r="F7" s="11" t="s">
        <v>7</v>
      </c>
      <c r="G7" s="33" t="s">
        <v>22</v>
      </c>
      <c r="H7" s="210" t="s">
        <v>142</v>
      </c>
      <c r="I7" s="211"/>
      <c r="J7" s="212"/>
    </row>
    <row r="8" spans="1:10" ht="15.75">
      <c r="A8" s="23">
        <v>1</v>
      </c>
      <c r="B8" s="193"/>
      <c r="C8" s="194"/>
      <c r="D8" s="194"/>
      <c r="E8" s="194"/>
      <c r="F8" s="195"/>
      <c r="G8" s="89"/>
      <c r="H8" s="90" t="s">
        <v>143</v>
      </c>
      <c r="I8" s="91" t="s">
        <v>144</v>
      </c>
      <c r="J8" s="91" t="s">
        <v>145</v>
      </c>
    </row>
    <row r="9" spans="1:10" ht="15.75">
      <c r="A9" s="23"/>
      <c r="B9" s="193" t="s">
        <v>146</v>
      </c>
      <c r="C9" s="194"/>
      <c r="D9" s="194"/>
      <c r="E9" s="194"/>
      <c r="F9" s="195"/>
      <c r="G9" s="78"/>
      <c r="H9" s="78"/>
      <c r="I9" s="58"/>
      <c r="J9" s="91"/>
    </row>
    <row r="10" spans="1:10" ht="15.75" customHeight="1">
      <c r="A10" s="92"/>
      <c r="B10" s="213" t="s">
        <v>147</v>
      </c>
      <c r="C10" s="213"/>
      <c r="D10" s="213"/>
      <c r="E10" s="213"/>
      <c r="F10" s="213"/>
      <c r="G10" s="15"/>
      <c r="H10" s="93">
        <v>896087.38</v>
      </c>
      <c r="I10" s="75"/>
      <c r="J10" s="94">
        <f>H10+I10</f>
        <v>896087.38</v>
      </c>
    </row>
    <row r="11" spans="1:10" ht="15.75" customHeight="1">
      <c r="A11" s="92"/>
      <c r="B11" s="213" t="s">
        <v>148</v>
      </c>
      <c r="C11" s="213"/>
      <c r="D11" s="213"/>
      <c r="E11" s="213"/>
      <c r="F11" s="213"/>
      <c r="G11" s="15"/>
      <c r="H11" s="16">
        <v>36485.58</v>
      </c>
      <c r="I11" s="75"/>
      <c r="J11" s="94">
        <f>H11+I11</f>
        <v>36485.58</v>
      </c>
    </row>
    <row r="12" spans="1:10" ht="15.75" customHeight="1">
      <c r="A12" s="23"/>
      <c r="B12" s="213" t="s">
        <v>149</v>
      </c>
      <c r="C12" s="213"/>
      <c r="D12" s="213"/>
      <c r="E12" s="213"/>
      <c r="F12" s="213"/>
      <c r="G12" s="15"/>
      <c r="H12" s="93"/>
      <c r="I12" s="75">
        <v>18938.9</v>
      </c>
      <c r="J12" s="94">
        <f>H12+I12</f>
        <v>18938.9</v>
      </c>
    </row>
    <row r="13" spans="1:10" ht="15.75" customHeight="1">
      <c r="A13" s="23"/>
      <c r="B13" s="213" t="s">
        <v>150</v>
      </c>
      <c r="C13" s="213"/>
      <c r="D13" s="213"/>
      <c r="E13" s="213"/>
      <c r="F13" s="213"/>
      <c r="G13" s="15"/>
      <c r="H13" s="93">
        <v>3571565</v>
      </c>
      <c r="I13" s="95">
        <v>0</v>
      </c>
      <c r="J13" s="94">
        <f>H13+I13</f>
        <v>3571565</v>
      </c>
    </row>
    <row r="14" spans="1:10" ht="15.75" customHeight="1">
      <c r="A14" s="23"/>
      <c r="B14" s="201" t="s">
        <v>151</v>
      </c>
      <c r="C14" s="201"/>
      <c r="D14" s="201"/>
      <c r="E14" s="201"/>
      <c r="F14" s="201"/>
      <c r="G14" s="15"/>
      <c r="H14" s="96">
        <f>SUM(H10:H13)</f>
        <v>4504137.96</v>
      </c>
      <c r="I14" s="96">
        <f>SUM(I10:I13)</f>
        <v>18938.9</v>
      </c>
      <c r="J14" s="96">
        <f>SUM(J10:J13)</f>
        <v>4523076.86</v>
      </c>
    </row>
    <row r="15" spans="1:10" ht="18.75" customHeight="1">
      <c r="A15" s="23">
        <v>2</v>
      </c>
      <c r="B15" s="180" t="s">
        <v>65</v>
      </c>
      <c r="C15" s="180"/>
      <c r="D15" s="180"/>
      <c r="E15" s="180"/>
      <c r="F15" s="180"/>
      <c r="G15" s="15"/>
      <c r="H15" s="93"/>
      <c r="I15" s="75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15.75" customHeight="1">
      <c r="A17" s="26"/>
      <c r="B17" s="214" t="s">
        <v>208</v>
      </c>
      <c r="C17" s="214"/>
      <c r="D17" s="214"/>
      <c r="E17" s="98" t="s">
        <v>32</v>
      </c>
      <c r="F17" s="80" t="s">
        <v>24</v>
      </c>
      <c r="G17" s="81">
        <v>1.22</v>
      </c>
      <c r="H17" s="99">
        <f>ROUND(G17*$E$3*12,2)</f>
        <v>81574.08</v>
      </c>
      <c r="I17" s="100">
        <f>$I$12*0.08</f>
        <v>1515.112</v>
      </c>
      <c r="J17" s="101">
        <f>SUM(H17:I17)</f>
        <v>83089.192</v>
      </c>
    </row>
    <row r="18" spans="1:10" ht="36" customHeight="1">
      <c r="A18" s="23"/>
      <c r="B18" s="215" t="s">
        <v>17</v>
      </c>
      <c r="C18" s="215"/>
      <c r="D18" s="215"/>
      <c r="E18" s="98" t="s">
        <v>32</v>
      </c>
      <c r="F18" s="80" t="s">
        <v>19</v>
      </c>
      <c r="G18" s="81">
        <v>0.28</v>
      </c>
      <c r="H18" s="99">
        <f>ROUND(G18*$E$3*12,2)</f>
        <v>18721.92</v>
      </c>
      <c r="I18" s="100">
        <f>$I$12*0.02</f>
        <v>378.778</v>
      </c>
      <c r="J18" s="101">
        <f>SUM(H18:I18)</f>
        <v>19100.697999999997</v>
      </c>
    </row>
    <row r="19" spans="1:10" ht="20.25" customHeight="1">
      <c r="A19" s="23"/>
      <c r="B19" s="216" t="s">
        <v>23</v>
      </c>
      <c r="C19" s="216"/>
      <c r="D19" s="216"/>
      <c r="E19" s="102" t="s">
        <v>154</v>
      </c>
      <c r="F19" s="83" t="s">
        <v>20</v>
      </c>
      <c r="G19" s="81">
        <v>0.99</v>
      </c>
      <c r="H19" s="99">
        <f>J19-I19</f>
        <v>47284.097</v>
      </c>
      <c r="I19" s="100">
        <f>$I$12*0.07</f>
        <v>1325.7230000000002</v>
      </c>
      <c r="J19" s="103">
        <v>48609.82</v>
      </c>
    </row>
    <row r="20" spans="1:10" ht="20.25" customHeight="1">
      <c r="A20" s="26"/>
      <c r="B20" s="214" t="s">
        <v>31</v>
      </c>
      <c r="C20" s="214"/>
      <c r="D20" s="214"/>
      <c r="E20" s="104" t="s">
        <v>9</v>
      </c>
      <c r="F20" s="84" t="s">
        <v>10</v>
      </c>
      <c r="G20" s="81">
        <v>0.51</v>
      </c>
      <c r="H20" s="99">
        <f>ROUND(G20*$E$3*12,2)</f>
        <v>34100.64</v>
      </c>
      <c r="I20" s="100">
        <f>$I$12*0.04</f>
        <v>757.556</v>
      </c>
      <c r="J20" s="101">
        <f>SUM(H20:I20)</f>
        <v>34858.195999999996</v>
      </c>
    </row>
    <row r="21" spans="1:10" ht="65.25" customHeight="1">
      <c r="A21" s="23"/>
      <c r="B21" s="216" t="s">
        <v>27</v>
      </c>
      <c r="C21" s="216"/>
      <c r="D21" s="216"/>
      <c r="E21" s="102" t="s">
        <v>155</v>
      </c>
      <c r="F21" s="83" t="s">
        <v>25</v>
      </c>
      <c r="G21" s="81">
        <v>0.12</v>
      </c>
      <c r="H21" s="99">
        <f>J21-I21</f>
        <v>3804.031</v>
      </c>
      <c r="I21" s="100">
        <f>$I$12*0.01</f>
        <v>189.389</v>
      </c>
      <c r="J21" s="103">
        <v>3993.42</v>
      </c>
    </row>
    <row r="22" spans="1:10" ht="20.25" customHeight="1">
      <c r="A22" s="26"/>
      <c r="B22" s="216" t="s">
        <v>11</v>
      </c>
      <c r="C22" s="216"/>
      <c r="D22" s="216"/>
      <c r="E22" s="102" t="s">
        <v>9</v>
      </c>
      <c r="F22" s="83" t="s">
        <v>12</v>
      </c>
      <c r="G22" s="81">
        <v>2.22</v>
      </c>
      <c r="H22" s="99">
        <f>J22-I22</f>
        <v>117266.325</v>
      </c>
      <c r="I22" s="100">
        <f>$I$12*0.15</f>
        <v>2840.835</v>
      </c>
      <c r="J22" s="103">
        <v>120107.16</v>
      </c>
    </row>
    <row r="23" spans="1:10" ht="31.5" customHeight="1">
      <c r="A23" s="26"/>
      <c r="B23" s="216" t="s">
        <v>26</v>
      </c>
      <c r="C23" s="217"/>
      <c r="D23" s="217"/>
      <c r="E23" s="105" t="s">
        <v>13</v>
      </c>
      <c r="F23" s="77" t="s">
        <v>14</v>
      </c>
      <c r="G23" s="81">
        <v>0.05</v>
      </c>
      <c r="H23" s="99">
        <f>J23-I23</f>
        <v>5312.3633</v>
      </c>
      <c r="I23" s="100">
        <f>$I$12*0.003</f>
        <v>56.816700000000004</v>
      </c>
      <c r="J23" s="103">
        <v>5369.18</v>
      </c>
    </row>
    <row r="24" spans="1:10" ht="28.5" customHeight="1">
      <c r="A24" s="23"/>
      <c r="B24" s="216" t="s">
        <v>71</v>
      </c>
      <c r="C24" s="216"/>
      <c r="D24" s="216"/>
      <c r="E24" s="98" t="s">
        <v>35</v>
      </c>
      <c r="F24" s="46" t="s">
        <v>82</v>
      </c>
      <c r="G24" s="81">
        <v>2.15</v>
      </c>
      <c r="H24" s="99">
        <f aca="true" t="shared" si="0" ref="H24:H29">ROUND(G24*$E$3*12,2)</f>
        <v>143757.6</v>
      </c>
      <c r="I24" s="100">
        <f>$I$12*0.19</f>
        <v>3598.3910000000005</v>
      </c>
      <c r="J24" s="101">
        <f aca="true" t="shared" si="1" ref="J24:J29">SUM(H24:I24)</f>
        <v>147355.991</v>
      </c>
    </row>
    <row r="25" spans="1:10" ht="26.25" customHeight="1">
      <c r="A25" s="23"/>
      <c r="B25" s="215" t="s">
        <v>15</v>
      </c>
      <c r="C25" s="215"/>
      <c r="D25" s="215"/>
      <c r="E25" s="98" t="s">
        <v>35</v>
      </c>
      <c r="F25" s="46" t="s">
        <v>82</v>
      </c>
      <c r="G25" s="81">
        <v>0.53</v>
      </c>
      <c r="H25" s="106">
        <f t="shared" si="0"/>
        <v>35437.92</v>
      </c>
      <c r="I25" s="100">
        <v>0</v>
      </c>
      <c r="J25" s="101">
        <f t="shared" si="1"/>
        <v>35437.92</v>
      </c>
    </row>
    <row r="26" spans="1:10" ht="30" customHeight="1">
      <c r="A26" s="23"/>
      <c r="B26" s="221" t="s">
        <v>36</v>
      </c>
      <c r="C26" s="222"/>
      <c r="D26" s="223"/>
      <c r="E26" s="98" t="s">
        <v>35</v>
      </c>
      <c r="F26" s="46" t="s">
        <v>82</v>
      </c>
      <c r="G26" s="48">
        <f>3.52-G27-G28</f>
        <v>2.94</v>
      </c>
      <c r="H26" s="106">
        <f t="shared" si="0"/>
        <v>196580.16</v>
      </c>
      <c r="I26" s="107">
        <f>$I$12*0.18</f>
        <v>3409.002</v>
      </c>
      <c r="J26" s="101">
        <f t="shared" si="1"/>
        <v>199989.162</v>
      </c>
    </row>
    <row r="27" spans="1:10" ht="26.25" customHeight="1">
      <c r="A27" s="26"/>
      <c r="B27" s="216" t="s">
        <v>156</v>
      </c>
      <c r="C27" s="216"/>
      <c r="D27" s="216"/>
      <c r="E27" s="98" t="s">
        <v>35</v>
      </c>
      <c r="F27" s="46" t="s">
        <v>82</v>
      </c>
      <c r="G27" s="48">
        <v>0.29</v>
      </c>
      <c r="H27" s="106">
        <f t="shared" si="0"/>
        <v>19390.56</v>
      </c>
      <c r="I27" s="107">
        <f>$I$12*0.02</f>
        <v>378.778</v>
      </c>
      <c r="J27" s="101">
        <f t="shared" si="1"/>
        <v>19769.338</v>
      </c>
    </row>
    <row r="28" spans="1:10" ht="28.5" customHeight="1">
      <c r="A28" s="23"/>
      <c r="B28" s="216" t="s">
        <v>157</v>
      </c>
      <c r="C28" s="216"/>
      <c r="D28" s="216"/>
      <c r="E28" s="102" t="s">
        <v>9</v>
      </c>
      <c r="F28" s="46" t="s">
        <v>82</v>
      </c>
      <c r="G28" s="48">
        <v>0.29</v>
      </c>
      <c r="H28" s="106">
        <f t="shared" si="0"/>
        <v>19390.56</v>
      </c>
      <c r="I28" s="107">
        <v>0</v>
      </c>
      <c r="J28" s="101">
        <f t="shared" si="1"/>
        <v>19390.56</v>
      </c>
    </row>
    <row r="29" spans="1:10" ht="27" customHeight="1">
      <c r="A29" s="23"/>
      <c r="B29" s="217" t="s">
        <v>21</v>
      </c>
      <c r="C29" s="217"/>
      <c r="D29" s="217"/>
      <c r="E29" s="102" t="s">
        <v>35</v>
      </c>
      <c r="F29" s="46" t="s">
        <v>82</v>
      </c>
      <c r="G29" s="77">
        <v>1.45</v>
      </c>
      <c r="H29" s="99">
        <f t="shared" si="0"/>
        <v>96952.8</v>
      </c>
      <c r="I29" s="100">
        <f>$I$12*0.1</f>
        <v>1893.8900000000003</v>
      </c>
      <c r="J29" s="101">
        <f t="shared" si="1"/>
        <v>98846.69</v>
      </c>
    </row>
    <row r="30" spans="1:10" ht="20.25" customHeight="1">
      <c r="A30" s="23"/>
      <c r="B30" s="229"/>
      <c r="C30" s="222"/>
      <c r="D30" s="223"/>
      <c r="E30" s="102"/>
      <c r="F30" s="46"/>
      <c r="G30" s="77"/>
      <c r="H30" s="106"/>
      <c r="I30" s="95"/>
      <c r="J30" s="108"/>
    </row>
    <row r="31" spans="1:10" ht="15.75">
      <c r="A31" s="23"/>
      <c r="B31" s="229"/>
      <c r="C31" s="222"/>
      <c r="D31" s="223"/>
      <c r="E31" s="102"/>
      <c r="F31" s="46"/>
      <c r="G31" s="77"/>
      <c r="H31" s="106"/>
      <c r="I31" s="95"/>
      <c r="J31" s="108"/>
    </row>
    <row r="32" spans="1:10" ht="15.75">
      <c r="A32" s="23"/>
      <c r="B32" s="178" t="s">
        <v>30</v>
      </c>
      <c r="C32" s="178"/>
      <c r="D32" s="178"/>
      <c r="E32" s="14"/>
      <c r="F32" s="46"/>
      <c r="G32" s="21">
        <f>SUM(G17:G29)</f>
        <v>13.039999999999996</v>
      </c>
      <c r="H32" s="40">
        <f>SUM(H17:H31)</f>
        <v>819573.0563000002</v>
      </c>
      <c r="I32" s="109">
        <f>SUM(I17:I31)</f>
        <v>16344.270700000001</v>
      </c>
      <c r="J32" s="40">
        <f>SUM(J17:J31)</f>
        <v>835917.327</v>
      </c>
    </row>
    <row r="33" spans="1:10" ht="15.75">
      <c r="A33" s="23"/>
      <c r="B33" s="218" t="s">
        <v>158</v>
      </c>
      <c r="C33" s="219"/>
      <c r="D33" s="220"/>
      <c r="E33" s="102" t="s">
        <v>9</v>
      </c>
      <c r="F33" s="46"/>
      <c r="G33" s="21"/>
      <c r="H33" s="40"/>
      <c r="I33" s="109"/>
      <c r="J33" s="40"/>
    </row>
    <row r="34" spans="1:10" ht="25.5">
      <c r="A34" s="23"/>
      <c r="B34" s="218" t="s">
        <v>159</v>
      </c>
      <c r="C34" s="219"/>
      <c r="D34" s="220"/>
      <c r="E34" s="98" t="s">
        <v>35</v>
      </c>
      <c r="F34" s="46"/>
      <c r="G34" s="21"/>
      <c r="H34" s="40"/>
      <c r="I34" s="109"/>
      <c r="J34" s="40"/>
    </row>
    <row r="35" spans="1:10" ht="15.75">
      <c r="A35" s="23"/>
      <c r="B35" s="130"/>
      <c r="C35" s="131"/>
      <c r="D35" s="131"/>
      <c r="E35" s="132"/>
      <c r="F35" s="46"/>
      <c r="G35" s="21"/>
      <c r="H35" s="40"/>
      <c r="I35" s="109"/>
      <c r="J35" s="40"/>
    </row>
    <row r="36" spans="1:10" ht="15" customHeight="1">
      <c r="A36" s="23" t="s">
        <v>160</v>
      </c>
      <c r="B36" s="230" t="s">
        <v>161</v>
      </c>
      <c r="C36" s="231"/>
      <c r="D36" s="231"/>
      <c r="E36" s="232"/>
      <c r="F36" s="46" t="s">
        <v>82</v>
      </c>
      <c r="G36" s="24">
        <f>H36/E3/12</f>
        <v>0.4426298157453936</v>
      </c>
      <c r="H36" s="28">
        <v>29596</v>
      </c>
      <c r="I36" s="110">
        <v>0</v>
      </c>
      <c r="J36" s="96">
        <f>SUM(H36:I36)</f>
        <v>29596</v>
      </c>
    </row>
    <row r="37" spans="1:10" ht="14.25" customHeight="1">
      <c r="A37" s="25"/>
      <c r="B37" s="224" t="s">
        <v>69</v>
      </c>
      <c r="C37" s="224"/>
      <c r="D37" s="224"/>
      <c r="E37" s="224"/>
      <c r="F37" s="224"/>
      <c r="G37" s="5">
        <f>SUM(G32:G36)</f>
        <v>13.482629815745389</v>
      </c>
      <c r="H37" s="41">
        <f>SUM(H32:H36)</f>
        <v>849169.0563000002</v>
      </c>
      <c r="I37" s="111">
        <f>SUM(I32:I36)</f>
        <v>16344.270700000001</v>
      </c>
      <c r="J37" s="41">
        <f>SUM(J32:J36)</f>
        <v>865513.327</v>
      </c>
    </row>
    <row r="38" spans="1:10" ht="15.75">
      <c r="A38" s="23" t="s">
        <v>162</v>
      </c>
      <c r="B38" s="225" t="s">
        <v>163</v>
      </c>
      <c r="C38" s="225"/>
      <c r="D38" s="225"/>
      <c r="E38" s="225"/>
      <c r="F38" s="225"/>
      <c r="G38" s="112"/>
      <c r="H38" s="113">
        <v>3759934</v>
      </c>
      <c r="I38" s="113">
        <v>0</v>
      </c>
      <c r="J38" s="114">
        <f>SUM(H38:I38)</f>
        <v>3759934</v>
      </c>
    </row>
    <row r="39" spans="1:10" ht="15" customHeight="1">
      <c r="A39" s="25"/>
      <c r="B39" s="224" t="s">
        <v>164</v>
      </c>
      <c r="C39" s="224"/>
      <c r="D39" s="224"/>
      <c r="E39" s="224"/>
      <c r="F39" s="224"/>
      <c r="G39" s="5">
        <f>SUM(G37:G38)</f>
        <v>13.482629815745389</v>
      </c>
      <c r="H39" s="41">
        <f>SUM(H37:H38)</f>
        <v>4609103.0563</v>
      </c>
      <c r="I39" s="111">
        <f>SUM(I37:I38)</f>
        <v>16344.270700000001</v>
      </c>
      <c r="J39" s="41">
        <f>SUM(J37:J38)</f>
        <v>4625447.327</v>
      </c>
    </row>
    <row r="40" spans="1:10" ht="15.75" customHeight="1">
      <c r="A40" s="23">
        <v>3</v>
      </c>
      <c r="B40" s="226" t="s">
        <v>209</v>
      </c>
      <c r="C40" s="227"/>
      <c r="D40" s="227"/>
      <c r="E40" s="227"/>
      <c r="F40" s="227"/>
      <c r="G40" s="228"/>
      <c r="H40" s="115">
        <f>H14-H39</f>
        <v>-104965.09630000032</v>
      </c>
      <c r="I40" s="99">
        <f>I14-I39</f>
        <v>2594.6293000000005</v>
      </c>
      <c r="J40" s="116">
        <f>J14-J39</f>
        <v>-102370.46699999925</v>
      </c>
    </row>
    <row r="41" spans="2:6" ht="15.75">
      <c r="B41" s="34"/>
      <c r="F41" s="34"/>
    </row>
    <row r="42" spans="2:6" ht="15.75">
      <c r="B42" s="34" t="s">
        <v>78</v>
      </c>
      <c r="C42" s="34"/>
      <c r="D42" s="34"/>
      <c r="E42" s="34"/>
      <c r="F42" s="34"/>
    </row>
    <row r="43" spans="2:4" ht="15.75">
      <c r="B43" s="34"/>
      <c r="C43" s="34"/>
      <c r="D43" s="34"/>
    </row>
    <row r="44" spans="2:4" ht="15.75">
      <c r="B44" s="127" t="s">
        <v>79</v>
      </c>
      <c r="C44" s="127"/>
      <c r="D44" s="127" t="s">
        <v>80</v>
      </c>
    </row>
    <row r="45" spans="2:5" ht="15.75" customHeight="1">
      <c r="B45" s="34" t="s">
        <v>86</v>
      </c>
      <c r="C45" s="34"/>
      <c r="D45" s="34"/>
      <c r="E45" s="34"/>
    </row>
    <row r="46" spans="2:4" ht="15.75" customHeight="1">
      <c r="B46" s="191" t="s">
        <v>87</v>
      </c>
      <c r="C46" s="191"/>
      <c r="D46" s="191"/>
    </row>
  </sheetData>
  <sheetProtection/>
  <mergeCells count="36">
    <mergeCell ref="B31:D31"/>
    <mergeCell ref="B32:D32"/>
    <mergeCell ref="B36:E36"/>
    <mergeCell ref="B37:F37"/>
    <mergeCell ref="B33:D33"/>
    <mergeCell ref="B34:D34"/>
    <mergeCell ref="B38:F38"/>
    <mergeCell ref="B39:F39"/>
    <mergeCell ref="B40:G40"/>
    <mergeCell ref="B46:D46"/>
    <mergeCell ref="B25:D25"/>
    <mergeCell ref="B26:D26"/>
    <mergeCell ref="B27:D27"/>
    <mergeCell ref="B28:D28"/>
    <mergeCell ref="B29:D29"/>
    <mergeCell ref="B30:D30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8">
      <selection activeCell="E33" sqref="E3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0.12890625" style="0" customWidth="1"/>
    <col min="8" max="8" width="14.125" style="0" customWidth="1"/>
    <col min="9" max="9" width="9.875" style="0" bestFit="1" customWidth="1"/>
  </cols>
  <sheetData>
    <row r="1" spans="1:8" ht="121.5" customHeight="1">
      <c r="A1" s="186" t="s">
        <v>210</v>
      </c>
      <c r="B1" s="186"/>
      <c r="C1" s="186"/>
      <c r="D1" s="186"/>
      <c r="E1" s="186"/>
      <c r="F1" s="186"/>
      <c r="G1" s="186"/>
      <c r="H1" s="186"/>
    </row>
    <row r="2" spans="1:6" ht="18.75">
      <c r="A2" s="1" t="s">
        <v>77</v>
      </c>
      <c r="B2" s="1" t="s">
        <v>83</v>
      </c>
      <c r="C2" s="2"/>
      <c r="D2" s="2" t="s">
        <v>0</v>
      </c>
      <c r="E2" s="4">
        <v>5572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8" t="s">
        <v>60</v>
      </c>
      <c r="B6" s="233" t="s">
        <v>141</v>
      </c>
      <c r="C6" s="234"/>
      <c r="D6" s="235"/>
      <c r="E6" s="73" t="s">
        <v>6</v>
      </c>
      <c r="F6" s="73" t="s">
        <v>7</v>
      </c>
      <c r="G6" s="119" t="s">
        <v>194</v>
      </c>
      <c r="H6" s="120" t="s">
        <v>133</v>
      </c>
    </row>
    <row r="7" spans="1:8" ht="15.75" customHeight="1">
      <c r="A7" s="74">
        <v>1</v>
      </c>
      <c r="B7" s="236" t="s">
        <v>134</v>
      </c>
      <c r="C7" s="236"/>
      <c r="D7" s="236"/>
      <c r="E7" s="236"/>
      <c r="F7" s="236"/>
      <c r="G7" s="75"/>
      <c r="H7" s="76"/>
    </row>
    <row r="8" spans="1:8" ht="15.75" customHeight="1">
      <c r="A8" s="74"/>
      <c r="B8" s="201" t="s">
        <v>195</v>
      </c>
      <c r="C8" s="201"/>
      <c r="D8" s="201"/>
      <c r="E8" s="201"/>
      <c r="F8" s="201"/>
      <c r="G8" s="24">
        <f>G31</f>
        <v>14.920000000000002</v>
      </c>
      <c r="H8" s="76">
        <f>ROUND($E$2*G8*12,0)</f>
        <v>997611</v>
      </c>
    </row>
    <row r="9" spans="1:8" ht="15.75" customHeight="1">
      <c r="A9" s="74"/>
      <c r="B9" s="237" t="s">
        <v>135</v>
      </c>
      <c r="C9" s="237"/>
      <c r="D9" s="237"/>
      <c r="E9" s="237"/>
      <c r="F9" s="237"/>
      <c r="G9" s="23">
        <v>0.78</v>
      </c>
      <c r="H9" s="76">
        <f>ROUND($E$2*G9*12,0)</f>
        <v>52154</v>
      </c>
    </row>
    <row r="10" spans="1:8" ht="15.75" customHeight="1">
      <c r="A10" s="74">
        <v>2</v>
      </c>
      <c r="B10" s="180" t="s">
        <v>65</v>
      </c>
      <c r="C10" s="180"/>
      <c r="D10" s="180"/>
      <c r="E10" s="180"/>
      <c r="F10" s="180"/>
      <c r="G10" s="77"/>
      <c r="H10" s="76"/>
    </row>
    <row r="11" spans="1:8" ht="18.75" customHeight="1">
      <c r="A11" s="74" t="s">
        <v>152</v>
      </c>
      <c r="B11" s="19" t="s">
        <v>66</v>
      </c>
      <c r="C11" s="19"/>
      <c r="D11" s="19"/>
      <c r="E11" s="19"/>
      <c r="F11" s="5"/>
      <c r="G11" s="78"/>
      <c r="H11" s="76"/>
    </row>
    <row r="12" spans="1:8" ht="29.25" customHeight="1">
      <c r="A12" s="79"/>
      <c r="B12" s="239" t="s">
        <v>208</v>
      </c>
      <c r="C12" s="239"/>
      <c r="D12" s="239"/>
      <c r="E12" s="98" t="s">
        <v>32</v>
      </c>
      <c r="F12" s="80" t="s">
        <v>24</v>
      </c>
      <c r="G12" s="81">
        <v>1.26</v>
      </c>
      <c r="H12" s="82">
        <f aca="true" t="shared" si="0" ref="H12:H31">ROUND($E$2*G12*12,0)</f>
        <v>84249</v>
      </c>
    </row>
    <row r="13" spans="1:9" ht="15.75" customHeight="1">
      <c r="A13" s="79"/>
      <c r="B13" s="239" t="s">
        <v>17</v>
      </c>
      <c r="C13" s="239"/>
      <c r="D13" s="239"/>
      <c r="E13" s="98" t="s">
        <v>32</v>
      </c>
      <c r="F13" s="80" t="s">
        <v>19</v>
      </c>
      <c r="G13" s="81">
        <v>0.29</v>
      </c>
      <c r="H13" s="82">
        <f t="shared" si="0"/>
        <v>19391</v>
      </c>
      <c r="I13" s="31"/>
    </row>
    <row r="14" spans="1:8" ht="18.75" customHeight="1">
      <c r="A14" s="79"/>
      <c r="B14" s="238" t="s">
        <v>23</v>
      </c>
      <c r="C14" s="238"/>
      <c r="D14" s="238"/>
      <c r="E14" s="102" t="s">
        <v>154</v>
      </c>
      <c r="F14" s="83" t="s">
        <v>20</v>
      </c>
      <c r="G14" s="81">
        <v>1.02</v>
      </c>
      <c r="H14" s="82">
        <f t="shared" si="0"/>
        <v>68201</v>
      </c>
    </row>
    <row r="15" spans="1:8" ht="15.75" customHeight="1">
      <c r="A15" s="79"/>
      <c r="B15" s="240" t="s">
        <v>31</v>
      </c>
      <c r="C15" s="240"/>
      <c r="D15" s="240"/>
      <c r="E15" s="104" t="s">
        <v>9</v>
      </c>
      <c r="F15" s="84" t="s">
        <v>10</v>
      </c>
      <c r="G15" s="81">
        <v>0.53</v>
      </c>
      <c r="H15" s="82">
        <f t="shared" si="0"/>
        <v>35438</v>
      </c>
    </row>
    <row r="16" spans="1:8" ht="31.5" customHeight="1">
      <c r="A16" s="79"/>
      <c r="B16" s="238" t="s">
        <v>27</v>
      </c>
      <c r="C16" s="238"/>
      <c r="D16" s="238"/>
      <c r="E16" s="102" t="s">
        <v>155</v>
      </c>
      <c r="F16" s="83" t="s">
        <v>25</v>
      </c>
      <c r="G16" s="81">
        <v>0.12</v>
      </c>
      <c r="H16" s="82">
        <f t="shared" si="0"/>
        <v>8024</v>
      </c>
    </row>
    <row r="17" spans="1:8" ht="15.75" customHeight="1">
      <c r="A17" s="79"/>
      <c r="B17" s="238" t="s">
        <v>11</v>
      </c>
      <c r="C17" s="238"/>
      <c r="D17" s="238"/>
      <c r="E17" s="102" t="s">
        <v>9</v>
      </c>
      <c r="F17" s="83" t="s">
        <v>12</v>
      </c>
      <c r="G17" s="81">
        <v>2.29</v>
      </c>
      <c r="H17" s="82">
        <f t="shared" si="0"/>
        <v>153119</v>
      </c>
    </row>
    <row r="18" spans="1:8" ht="15.75" customHeight="1">
      <c r="A18" s="79"/>
      <c r="B18" s="238" t="s">
        <v>26</v>
      </c>
      <c r="C18" s="241"/>
      <c r="D18" s="241"/>
      <c r="E18" s="105" t="s">
        <v>13</v>
      </c>
      <c r="F18" s="77" t="s">
        <v>136</v>
      </c>
      <c r="G18" s="81">
        <v>0.05</v>
      </c>
      <c r="H18" s="82">
        <f t="shared" si="0"/>
        <v>3343</v>
      </c>
    </row>
    <row r="19" spans="1:8" ht="33" customHeight="1">
      <c r="A19" s="79"/>
      <c r="B19" s="238" t="s">
        <v>71</v>
      </c>
      <c r="C19" s="238"/>
      <c r="D19" s="238"/>
      <c r="E19" s="98" t="s">
        <v>35</v>
      </c>
      <c r="F19" s="83" t="s">
        <v>82</v>
      </c>
      <c r="G19" s="81">
        <v>2.21</v>
      </c>
      <c r="H19" s="82">
        <f t="shared" si="0"/>
        <v>147769</v>
      </c>
    </row>
    <row r="20" spans="1:8" ht="51">
      <c r="A20" s="79"/>
      <c r="B20" s="239" t="s">
        <v>15</v>
      </c>
      <c r="C20" s="239"/>
      <c r="D20" s="239"/>
      <c r="E20" s="98" t="s">
        <v>137</v>
      </c>
      <c r="F20" s="83" t="s">
        <v>82</v>
      </c>
      <c r="G20" s="81">
        <v>0.55</v>
      </c>
      <c r="H20" s="82">
        <f t="shared" si="0"/>
        <v>36775</v>
      </c>
    </row>
    <row r="21" spans="1:8" ht="25.5">
      <c r="A21" s="79"/>
      <c r="B21" s="238" t="s">
        <v>36</v>
      </c>
      <c r="C21" s="241"/>
      <c r="D21" s="241"/>
      <c r="E21" s="98" t="s">
        <v>35</v>
      </c>
      <c r="F21" s="83" t="s">
        <v>82</v>
      </c>
      <c r="G21" s="81">
        <f>3.62-G22-G23</f>
        <v>3.0200000000000005</v>
      </c>
      <c r="H21" s="82">
        <f t="shared" si="0"/>
        <v>201929</v>
      </c>
    </row>
    <row r="22" spans="1:8" ht="15.75" customHeight="1">
      <c r="A22" s="79"/>
      <c r="B22" s="238" t="s">
        <v>196</v>
      </c>
      <c r="C22" s="238"/>
      <c r="D22" s="238"/>
      <c r="E22" s="102" t="s">
        <v>9</v>
      </c>
      <c r="F22" s="83" t="s">
        <v>82</v>
      </c>
      <c r="G22" s="81">
        <v>0.3</v>
      </c>
      <c r="H22" s="82">
        <f t="shared" si="0"/>
        <v>20059</v>
      </c>
    </row>
    <row r="23" spans="1:8" ht="36.75" customHeight="1">
      <c r="A23" s="79"/>
      <c r="B23" s="238" t="s">
        <v>157</v>
      </c>
      <c r="C23" s="238"/>
      <c r="D23" s="238"/>
      <c r="E23" s="102" t="s">
        <v>9</v>
      </c>
      <c r="F23" s="83" t="s">
        <v>82</v>
      </c>
      <c r="G23" s="81">
        <v>0.3</v>
      </c>
      <c r="H23" s="82">
        <f t="shared" si="0"/>
        <v>20059</v>
      </c>
    </row>
    <row r="24" spans="1:8" ht="25.5">
      <c r="A24" s="79"/>
      <c r="B24" s="241" t="s">
        <v>21</v>
      </c>
      <c r="C24" s="241"/>
      <c r="D24" s="241"/>
      <c r="E24" s="98" t="s">
        <v>35</v>
      </c>
      <c r="F24" s="83" t="s">
        <v>82</v>
      </c>
      <c r="G24" s="81">
        <v>1.49</v>
      </c>
      <c r="H24" s="82">
        <f t="shared" si="0"/>
        <v>99627</v>
      </c>
    </row>
    <row r="25" spans="1:8" ht="15.75">
      <c r="A25" s="23"/>
      <c r="B25" s="218" t="s">
        <v>158</v>
      </c>
      <c r="C25" s="219"/>
      <c r="D25" s="220"/>
      <c r="E25" s="102" t="s">
        <v>9</v>
      </c>
      <c r="F25" s="83"/>
      <c r="G25" s="81"/>
      <c r="H25" s="82"/>
    </row>
    <row r="26" spans="1:8" ht="31.5" customHeight="1">
      <c r="A26" s="23"/>
      <c r="B26" s="218" t="s">
        <v>159</v>
      </c>
      <c r="C26" s="219"/>
      <c r="D26" s="220"/>
      <c r="E26" s="98" t="s">
        <v>35</v>
      </c>
      <c r="F26" s="83"/>
      <c r="G26" s="81"/>
      <c r="H26" s="82"/>
    </row>
    <row r="27" spans="1:8" ht="15.75" customHeight="1">
      <c r="A27" s="79"/>
      <c r="B27" s="229"/>
      <c r="C27" s="222"/>
      <c r="D27" s="223"/>
      <c r="E27" s="98"/>
      <c r="F27" s="83"/>
      <c r="G27" s="81"/>
      <c r="H27" s="82"/>
    </row>
    <row r="28" spans="1:8" ht="15.75">
      <c r="A28" s="79"/>
      <c r="B28" s="229"/>
      <c r="C28" s="222"/>
      <c r="D28" s="223"/>
      <c r="E28" s="98"/>
      <c r="F28" s="83"/>
      <c r="G28" s="81"/>
      <c r="H28" s="82"/>
    </row>
    <row r="29" spans="1:8" ht="15.75">
      <c r="A29" s="79"/>
      <c r="B29" s="246" t="s">
        <v>30</v>
      </c>
      <c r="C29" s="247"/>
      <c r="D29" s="248"/>
      <c r="E29" s="14"/>
      <c r="F29" s="83"/>
      <c r="G29" s="21">
        <f>SUM(G12:G28)</f>
        <v>13.430000000000001</v>
      </c>
      <c r="H29" s="82">
        <f t="shared" si="0"/>
        <v>897984</v>
      </c>
    </row>
    <row r="30" spans="1:8" ht="15.75">
      <c r="A30" s="74" t="s">
        <v>160</v>
      </c>
      <c r="B30" s="230" t="s">
        <v>211</v>
      </c>
      <c r="C30" s="231"/>
      <c r="D30" s="231"/>
      <c r="E30" s="232"/>
      <c r="F30" s="51" t="s">
        <v>138</v>
      </c>
      <c r="G30" s="24">
        <v>1.49</v>
      </c>
      <c r="H30" s="82">
        <v>53400</v>
      </c>
    </row>
    <row r="31" spans="1:8" ht="15.75" customHeight="1">
      <c r="A31" s="74"/>
      <c r="B31" s="242" t="s">
        <v>198</v>
      </c>
      <c r="C31" s="242"/>
      <c r="D31" s="242"/>
      <c r="E31" s="242"/>
      <c r="F31" s="242"/>
      <c r="G31" s="21">
        <f>SUM(G29:G30)</f>
        <v>14.920000000000002</v>
      </c>
      <c r="H31" s="121">
        <f t="shared" si="0"/>
        <v>997611</v>
      </c>
    </row>
    <row r="32" spans="1:8" ht="16.5" thickBot="1">
      <c r="A32" s="122">
        <v>3</v>
      </c>
      <c r="B32" s="243" t="s">
        <v>212</v>
      </c>
      <c r="C32" s="244"/>
      <c r="D32" s="245"/>
      <c r="E32" s="123"/>
      <c r="F32" s="124" t="s">
        <v>138</v>
      </c>
      <c r="G32" s="125">
        <v>0.78</v>
      </c>
      <c r="H32" s="126">
        <f>ROUND($E$2*G32*12,0)</f>
        <v>52154</v>
      </c>
    </row>
    <row r="33" spans="2:8" ht="75" customHeight="1">
      <c r="B33" s="249" t="s">
        <v>213</v>
      </c>
      <c r="C33" s="249"/>
      <c r="D33" s="249"/>
      <c r="G33" s="85"/>
      <c r="H33" s="86"/>
    </row>
    <row r="34" spans="1:8" ht="34.5" customHeight="1">
      <c r="A34" s="43" t="s">
        <v>78</v>
      </c>
      <c r="B34" s="43"/>
      <c r="C34" s="43"/>
      <c r="D34" s="34"/>
      <c r="G34" s="85"/>
      <c r="H34" s="86"/>
    </row>
  </sheetData>
  <sheetProtection/>
  <mergeCells count="28">
    <mergeCell ref="B31:F31"/>
    <mergeCell ref="B32:D32"/>
    <mergeCell ref="B26:D26"/>
    <mergeCell ref="B27:D27"/>
    <mergeCell ref="B28:D28"/>
    <mergeCell ref="B29:D29"/>
    <mergeCell ref="B23:D23"/>
    <mergeCell ref="B24:D24"/>
    <mergeCell ref="B25:D25"/>
    <mergeCell ref="B30:E30"/>
    <mergeCell ref="B19:D19"/>
    <mergeCell ref="B20:D20"/>
    <mergeCell ref="B21:D21"/>
    <mergeCell ref="B22:D22"/>
    <mergeCell ref="B15:D15"/>
    <mergeCell ref="B16:D16"/>
    <mergeCell ref="B17:D17"/>
    <mergeCell ref="B18:D18"/>
    <mergeCell ref="B33:D33"/>
    <mergeCell ref="A1:H1"/>
    <mergeCell ref="B6:D6"/>
    <mergeCell ref="B7:F7"/>
    <mergeCell ref="B8:F8"/>
    <mergeCell ref="B9:F9"/>
    <mergeCell ref="B10:F10"/>
    <mergeCell ref="B12:D12"/>
    <mergeCell ref="B13:D13"/>
    <mergeCell ref="B14:D14"/>
  </mergeCells>
  <printOptions/>
  <pageMargins left="0.35433070866141736" right="0" top="0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9">
      <selection activeCell="G16" sqref="G16:G28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10.625" style="0" customWidth="1"/>
    <col min="8" max="8" width="12.625" style="0" customWidth="1"/>
    <col min="9" max="9" width="9.875" style="0" bestFit="1" customWidth="1"/>
  </cols>
  <sheetData>
    <row r="1" spans="3:8" ht="73.5" customHeight="1">
      <c r="C1" s="257" t="s">
        <v>214</v>
      </c>
      <c r="D1" s="257"/>
      <c r="E1" s="257"/>
      <c r="F1" s="257"/>
      <c r="G1" s="257"/>
      <c r="H1" s="257"/>
    </row>
    <row r="4" spans="1:8" ht="20.25" customHeight="1">
      <c r="A4" s="186" t="s">
        <v>215</v>
      </c>
      <c r="B4" s="186"/>
      <c r="C4" s="186"/>
      <c r="D4" s="186"/>
      <c r="E4" s="186"/>
      <c r="F4" s="186"/>
      <c r="G4" s="186"/>
      <c r="H4" s="186"/>
    </row>
    <row r="5" spans="1:6" ht="19.5">
      <c r="A5" s="137"/>
      <c r="B5" s="137"/>
      <c r="C5" s="137"/>
      <c r="D5" s="137"/>
      <c r="E5" s="137"/>
      <c r="F5" s="137"/>
    </row>
    <row r="6" spans="2:8" ht="19.5" customHeight="1">
      <c r="B6" s="260" t="s">
        <v>227</v>
      </c>
      <c r="C6" s="260"/>
      <c r="D6" s="260"/>
      <c r="E6" s="260"/>
      <c r="F6" s="260"/>
      <c r="G6" s="260"/>
      <c r="H6" s="260"/>
    </row>
    <row r="8" spans="1:10" ht="18.75">
      <c r="A8" s="1" t="s">
        <v>77</v>
      </c>
      <c r="B8" s="1" t="s">
        <v>83</v>
      </c>
      <c r="C8" s="2"/>
      <c r="D8" s="2" t="s">
        <v>0</v>
      </c>
      <c r="E8" s="4">
        <v>5618.45</v>
      </c>
      <c r="F8" s="2"/>
      <c r="J8" t="s">
        <v>226</v>
      </c>
    </row>
    <row r="9" spans="2:10" ht="15.75">
      <c r="B9" s="3" t="s">
        <v>1</v>
      </c>
      <c r="C9" s="27">
        <v>9</v>
      </c>
      <c r="D9" s="2" t="s">
        <v>2</v>
      </c>
      <c r="E9" s="4" t="s">
        <v>224</v>
      </c>
      <c r="F9" s="2"/>
      <c r="J9" t="s">
        <v>225</v>
      </c>
    </row>
    <row r="10" spans="2:7" ht="15.75">
      <c r="B10" s="3" t="s">
        <v>3</v>
      </c>
      <c r="C10" s="4">
        <v>3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05.75" customHeight="1">
      <c r="A12" s="118" t="s">
        <v>60</v>
      </c>
      <c r="B12" s="259" t="s">
        <v>141</v>
      </c>
      <c r="C12" s="259"/>
      <c r="D12" s="259"/>
      <c r="E12" s="73" t="s">
        <v>6</v>
      </c>
      <c r="F12" s="73" t="s">
        <v>7</v>
      </c>
      <c r="G12" s="139" t="s">
        <v>228</v>
      </c>
      <c r="H12" s="140" t="s">
        <v>229</v>
      </c>
    </row>
    <row r="13" spans="1:8" ht="25.5">
      <c r="A13" s="141">
        <v>1</v>
      </c>
      <c r="B13" s="207">
        <v>2</v>
      </c>
      <c r="C13" s="208"/>
      <c r="D13" s="258"/>
      <c r="E13" s="143">
        <v>3</v>
      </c>
      <c r="F13" s="142"/>
      <c r="G13" s="144">
        <v>4</v>
      </c>
      <c r="H13" s="145" t="s">
        <v>230</v>
      </c>
    </row>
    <row r="14" spans="1:8" ht="15.75" customHeight="1">
      <c r="A14" s="74" t="s">
        <v>95</v>
      </c>
      <c r="B14" s="180" t="s">
        <v>65</v>
      </c>
      <c r="C14" s="180"/>
      <c r="D14" s="180"/>
      <c r="E14" s="180"/>
      <c r="F14" s="180"/>
      <c r="G14" s="77"/>
      <c r="H14" s="76"/>
    </row>
    <row r="15" spans="1:8" ht="18.75" customHeight="1">
      <c r="A15" s="74" t="s">
        <v>220</v>
      </c>
      <c r="B15" s="19" t="s">
        <v>66</v>
      </c>
      <c r="C15" s="19"/>
      <c r="D15" s="19"/>
      <c r="E15" s="19"/>
      <c r="F15" s="5"/>
      <c r="G15" s="78"/>
      <c r="H15" s="76"/>
    </row>
    <row r="16" spans="1:8" ht="30.75" customHeight="1">
      <c r="A16" s="79"/>
      <c r="B16" s="239" t="s">
        <v>208</v>
      </c>
      <c r="C16" s="239"/>
      <c r="D16" s="239"/>
      <c r="E16" s="98" t="s">
        <v>32</v>
      </c>
      <c r="F16" s="80" t="s">
        <v>24</v>
      </c>
      <c r="G16" s="81">
        <v>1.29</v>
      </c>
      <c r="H16" s="82">
        <f>ROUND($E$8*G16*4,0)</f>
        <v>28991</v>
      </c>
    </row>
    <row r="17" spans="1:9" ht="15.75" customHeight="1">
      <c r="A17" s="79"/>
      <c r="B17" s="239" t="s">
        <v>17</v>
      </c>
      <c r="C17" s="239"/>
      <c r="D17" s="239"/>
      <c r="E17" s="98" t="s">
        <v>32</v>
      </c>
      <c r="F17" s="80" t="s">
        <v>19</v>
      </c>
      <c r="G17" s="81">
        <v>0.3</v>
      </c>
      <c r="H17" s="82">
        <f aca="true" t="shared" si="0" ref="H17:H32">ROUND($E$8*G17*4,0)</f>
        <v>6742</v>
      </c>
      <c r="I17" s="31"/>
    </row>
    <row r="18" spans="1:8" ht="18.75" customHeight="1">
      <c r="A18" s="79"/>
      <c r="B18" s="238" t="s">
        <v>23</v>
      </c>
      <c r="C18" s="238"/>
      <c r="D18" s="238"/>
      <c r="E18" s="102" t="s">
        <v>154</v>
      </c>
      <c r="F18" s="83" t="s">
        <v>20</v>
      </c>
      <c r="G18" s="81">
        <v>1.05</v>
      </c>
      <c r="H18" s="82">
        <f t="shared" si="0"/>
        <v>23597</v>
      </c>
    </row>
    <row r="19" spans="1:8" ht="15.75" customHeight="1">
      <c r="A19" s="79"/>
      <c r="B19" s="240" t="s">
        <v>31</v>
      </c>
      <c r="C19" s="240"/>
      <c r="D19" s="240"/>
      <c r="E19" s="104" t="s">
        <v>9</v>
      </c>
      <c r="F19" s="84" t="s">
        <v>10</v>
      </c>
      <c r="G19" s="81">
        <v>0.54</v>
      </c>
      <c r="H19" s="82">
        <f t="shared" si="0"/>
        <v>12136</v>
      </c>
    </row>
    <row r="20" spans="1:8" ht="51">
      <c r="A20" s="79"/>
      <c r="B20" s="238" t="s">
        <v>27</v>
      </c>
      <c r="C20" s="238"/>
      <c r="D20" s="238"/>
      <c r="E20" s="102" t="s">
        <v>155</v>
      </c>
      <c r="F20" s="83" t="s">
        <v>25</v>
      </c>
      <c r="G20" s="81">
        <v>0.13</v>
      </c>
      <c r="H20" s="82">
        <f t="shared" si="0"/>
        <v>2922</v>
      </c>
    </row>
    <row r="21" spans="1:8" ht="15.75" customHeight="1">
      <c r="A21" s="79"/>
      <c r="B21" s="238" t="s">
        <v>11</v>
      </c>
      <c r="C21" s="238"/>
      <c r="D21" s="238"/>
      <c r="E21" s="102" t="s">
        <v>9</v>
      </c>
      <c r="F21" s="83" t="s">
        <v>12</v>
      </c>
      <c r="G21" s="81">
        <v>2.35</v>
      </c>
      <c r="H21" s="82">
        <f t="shared" si="0"/>
        <v>52813</v>
      </c>
    </row>
    <row r="22" spans="1:8" ht="15.75" customHeight="1">
      <c r="A22" s="79"/>
      <c r="B22" s="238" t="s">
        <v>26</v>
      </c>
      <c r="C22" s="241"/>
      <c r="D22" s="241"/>
      <c r="E22" s="105" t="s">
        <v>13</v>
      </c>
      <c r="F22" s="77" t="s">
        <v>136</v>
      </c>
      <c r="G22" s="81">
        <v>0.05</v>
      </c>
      <c r="H22" s="82">
        <f t="shared" si="0"/>
        <v>1124</v>
      </c>
    </row>
    <row r="23" spans="1:8" ht="51">
      <c r="A23" s="79"/>
      <c r="B23" s="238" t="s">
        <v>71</v>
      </c>
      <c r="C23" s="238"/>
      <c r="D23" s="238"/>
      <c r="E23" s="98" t="s">
        <v>231</v>
      </c>
      <c r="F23" s="83" t="s">
        <v>82</v>
      </c>
      <c r="G23" s="81">
        <v>1.63</v>
      </c>
      <c r="H23" s="82">
        <f t="shared" si="0"/>
        <v>36632</v>
      </c>
    </row>
    <row r="24" spans="1:8" ht="51">
      <c r="A24" s="79"/>
      <c r="B24" s="239" t="s">
        <v>15</v>
      </c>
      <c r="C24" s="239"/>
      <c r="D24" s="239"/>
      <c r="E24" s="98" t="s">
        <v>137</v>
      </c>
      <c r="F24" s="83" t="s">
        <v>82</v>
      </c>
      <c r="G24" s="81">
        <v>0.56</v>
      </c>
      <c r="H24" s="82">
        <f t="shared" si="0"/>
        <v>12585</v>
      </c>
    </row>
    <row r="25" spans="1:8" ht="30.75" customHeight="1">
      <c r="A25" s="79"/>
      <c r="B25" s="238" t="s">
        <v>36</v>
      </c>
      <c r="C25" s="241"/>
      <c r="D25" s="241"/>
      <c r="E25" s="98" t="s">
        <v>35</v>
      </c>
      <c r="F25" s="83" t="s">
        <v>82</v>
      </c>
      <c r="G25" s="81">
        <f>4.38-G26-G27</f>
        <v>3.7600000000000002</v>
      </c>
      <c r="H25" s="82">
        <f t="shared" si="0"/>
        <v>84501</v>
      </c>
    </row>
    <row r="26" spans="1:8" ht="15.75" customHeight="1">
      <c r="A26" s="79"/>
      <c r="B26" s="238" t="s">
        <v>196</v>
      </c>
      <c r="C26" s="238"/>
      <c r="D26" s="238"/>
      <c r="E26" s="102" t="s">
        <v>9</v>
      </c>
      <c r="F26" s="83" t="s">
        <v>82</v>
      </c>
      <c r="G26" s="81">
        <v>0.31</v>
      </c>
      <c r="H26" s="82">
        <f t="shared" si="0"/>
        <v>6967</v>
      </c>
    </row>
    <row r="27" spans="1:8" ht="15.75">
      <c r="A27" s="79"/>
      <c r="B27" s="238" t="s">
        <v>157</v>
      </c>
      <c r="C27" s="238"/>
      <c r="D27" s="238"/>
      <c r="E27" s="102" t="s">
        <v>9</v>
      </c>
      <c r="F27" s="83" t="s">
        <v>82</v>
      </c>
      <c r="G27" s="81">
        <v>0.31</v>
      </c>
      <c r="H27" s="82">
        <f t="shared" si="0"/>
        <v>6967</v>
      </c>
    </row>
    <row r="28" spans="1:8" ht="27.75" customHeight="1">
      <c r="A28" s="79"/>
      <c r="B28" s="241" t="s">
        <v>21</v>
      </c>
      <c r="C28" s="241"/>
      <c r="D28" s="241"/>
      <c r="E28" s="98" t="s">
        <v>35</v>
      </c>
      <c r="F28" s="83" t="s">
        <v>82</v>
      </c>
      <c r="G28" s="81">
        <v>1.54</v>
      </c>
      <c r="H28" s="82">
        <f t="shared" si="0"/>
        <v>34610</v>
      </c>
    </row>
    <row r="29" spans="1:8" ht="15.75">
      <c r="A29" s="79"/>
      <c r="B29" s="246" t="s">
        <v>30</v>
      </c>
      <c r="C29" s="247"/>
      <c r="D29" s="248"/>
      <c r="E29" s="14"/>
      <c r="F29" s="83"/>
      <c r="G29" s="21">
        <f>SUM(G16:G28)</f>
        <v>13.82</v>
      </c>
      <c r="H29" s="82">
        <f t="shared" si="0"/>
        <v>310588</v>
      </c>
    </row>
    <row r="30" spans="1:8" ht="15.75" customHeight="1">
      <c r="A30" s="74" t="s">
        <v>221</v>
      </c>
      <c r="B30" s="230" t="s">
        <v>211</v>
      </c>
      <c r="C30" s="231"/>
      <c r="D30" s="232"/>
      <c r="E30" s="146" t="s">
        <v>223</v>
      </c>
      <c r="F30" s="51" t="s">
        <v>138</v>
      </c>
      <c r="G30" s="24">
        <v>1.54</v>
      </c>
      <c r="H30" s="82">
        <f t="shared" si="0"/>
        <v>34610</v>
      </c>
    </row>
    <row r="31" spans="1:8" ht="15.75" customHeight="1">
      <c r="A31" s="74" t="s">
        <v>222</v>
      </c>
      <c r="B31" s="242" t="s">
        <v>198</v>
      </c>
      <c r="C31" s="242"/>
      <c r="D31" s="242"/>
      <c r="E31" s="242"/>
      <c r="F31" s="242"/>
      <c r="G31" s="21">
        <f>SUM(G29:G30)</f>
        <v>15.36</v>
      </c>
      <c r="H31" s="82">
        <f t="shared" si="0"/>
        <v>345198</v>
      </c>
    </row>
    <row r="32" spans="1:8" ht="16.5" thickBot="1">
      <c r="A32" s="122" t="s">
        <v>98</v>
      </c>
      <c r="B32" s="243" t="s">
        <v>212</v>
      </c>
      <c r="C32" s="244"/>
      <c r="D32" s="245"/>
      <c r="E32" s="147" t="s">
        <v>223</v>
      </c>
      <c r="F32" s="124" t="s">
        <v>138</v>
      </c>
      <c r="G32" s="148">
        <v>0.8</v>
      </c>
      <c r="H32" s="149">
        <f t="shared" si="0"/>
        <v>17979</v>
      </c>
    </row>
    <row r="33" spans="1:8" ht="12" customHeight="1" thickBot="1">
      <c r="A33" s="151"/>
      <c r="B33" s="250"/>
      <c r="C33" s="251"/>
      <c r="D33" s="252"/>
      <c r="E33" s="152"/>
      <c r="F33" s="153"/>
      <c r="G33" s="154"/>
      <c r="H33" s="149"/>
    </row>
    <row r="34" spans="1:8" ht="45" customHeight="1" thickBot="1">
      <c r="A34" s="155" t="s">
        <v>101</v>
      </c>
      <c r="B34" s="253" t="s">
        <v>233</v>
      </c>
      <c r="C34" s="254"/>
      <c r="D34" s="255"/>
      <c r="E34" s="156" t="s">
        <v>234</v>
      </c>
      <c r="F34" s="157" t="s">
        <v>235</v>
      </c>
      <c r="G34" s="158">
        <v>1000</v>
      </c>
      <c r="H34" s="159">
        <f>ROUND(G34*4,0)</f>
        <v>4000</v>
      </c>
    </row>
    <row r="35" spans="2:8" ht="15.75" customHeight="1">
      <c r="B35" s="256" t="s">
        <v>232</v>
      </c>
      <c r="C35" s="256"/>
      <c r="D35" s="256"/>
      <c r="E35" s="256"/>
      <c r="G35" s="85"/>
      <c r="H35" s="86"/>
    </row>
    <row r="36" spans="2:8" ht="15.75">
      <c r="B36" s="138"/>
      <c r="C36" s="138"/>
      <c r="D36" s="138"/>
      <c r="G36" s="85"/>
      <c r="H36" s="86"/>
    </row>
    <row r="37" spans="2:8" ht="15.75">
      <c r="B37" s="127" t="s">
        <v>216</v>
      </c>
      <c r="C37" s="127"/>
      <c r="D37" s="127"/>
      <c r="E37" s="34" t="s">
        <v>217</v>
      </c>
      <c r="F37" s="34"/>
      <c r="G37" s="34"/>
      <c r="H37" s="34"/>
    </row>
    <row r="39" spans="2:5" ht="15.75">
      <c r="B39" s="127" t="s">
        <v>218</v>
      </c>
      <c r="C39" s="127"/>
      <c r="D39" s="127"/>
      <c r="E39" t="s">
        <v>219</v>
      </c>
    </row>
  </sheetData>
  <mergeCells count="26">
    <mergeCell ref="B20:D20"/>
    <mergeCell ref="B21:D21"/>
    <mergeCell ref="B22:D22"/>
    <mergeCell ref="B14:F14"/>
    <mergeCell ref="B16:D16"/>
    <mergeCell ref="B17:D17"/>
    <mergeCell ref="B18:D18"/>
    <mergeCell ref="B19:D19"/>
    <mergeCell ref="B31:F31"/>
    <mergeCell ref="B23:D23"/>
    <mergeCell ref="B24:D24"/>
    <mergeCell ref="B25:D25"/>
    <mergeCell ref="B26:D26"/>
    <mergeCell ref="B30:D30"/>
    <mergeCell ref="B27:D27"/>
    <mergeCell ref="B28:D28"/>
    <mergeCell ref="B29:D29"/>
    <mergeCell ref="C1:H1"/>
    <mergeCell ref="A4:H4"/>
    <mergeCell ref="B13:D13"/>
    <mergeCell ref="B12:D12"/>
    <mergeCell ref="B6:H6"/>
    <mergeCell ref="B33:D33"/>
    <mergeCell ref="B34:D34"/>
    <mergeCell ref="B35:E35"/>
    <mergeCell ref="B32:D3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C10">
      <selection activeCell="K22" sqref="K22"/>
    </sheetView>
  </sheetViews>
  <sheetFormatPr defaultColWidth="9.00390625" defaultRowHeight="15.75"/>
  <cols>
    <col min="1" max="1" width="5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125" style="0" customWidth="1"/>
    <col min="6" max="6" width="18.00390625" style="0" hidden="1" customWidth="1"/>
    <col min="7" max="7" width="8.875" style="0" hidden="1" customWidth="1"/>
    <col min="8" max="8" width="9.125" style="0" hidden="1" customWidth="1"/>
    <col min="9" max="9" width="13.25390625" style="0" hidden="1" customWidth="1"/>
    <col min="10" max="10" width="12.00390625" style="0" hidden="1" customWidth="1"/>
    <col min="11" max="11" width="18.875" style="0" customWidth="1"/>
    <col min="12" max="13" width="0" style="0" hidden="1" customWidth="1"/>
  </cols>
  <sheetData>
    <row r="1" spans="1:11" ht="126.75" customHeight="1">
      <c r="A1" s="186" t="s">
        <v>236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54" customHeight="1">
      <c r="A2" s="206" t="s">
        <v>237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0" ht="31.5">
      <c r="A3" s="1" t="s">
        <v>77</v>
      </c>
      <c r="B3" s="1" t="s">
        <v>83</v>
      </c>
      <c r="C3" s="2"/>
      <c r="D3" s="164" t="s">
        <v>238</v>
      </c>
      <c r="E3" s="4">
        <v>5618.45</v>
      </c>
      <c r="F3" s="2"/>
      <c r="J3" s="87"/>
    </row>
    <row r="4" spans="2:6" ht="15.75">
      <c r="B4" s="3" t="s">
        <v>1</v>
      </c>
      <c r="C4" s="133">
        <v>9</v>
      </c>
      <c r="D4" s="2" t="s">
        <v>2</v>
      </c>
      <c r="E4" s="4">
        <v>108</v>
      </c>
      <c r="F4" s="2"/>
    </row>
    <row r="5" spans="2:10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s="2"/>
    </row>
    <row r="7" spans="1:13" ht="56.25" customHeight="1">
      <c r="A7" s="22" t="s">
        <v>60</v>
      </c>
      <c r="B7" s="207" t="s">
        <v>141</v>
      </c>
      <c r="C7" s="208"/>
      <c r="D7" s="209"/>
      <c r="E7" s="11" t="s">
        <v>6</v>
      </c>
      <c r="F7" s="11" t="s">
        <v>7</v>
      </c>
      <c r="G7" s="33" t="s">
        <v>239</v>
      </c>
      <c r="H7" s="160" t="s">
        <v>240</v>
      </c>
      <c r="I7" s="210" t="s">
        <v>241</v>
      </c>
      <c r="J7" s="211"/>
      <c r="K7" s="212"/>
      <c r="L7" s="57">
        <v>8</v>
      </c>
      <c r="M7" s="165" t="s">
        <v>242</v>
      </c>
    </row>
    <row r="8" spans="1:11" ht="15.75">
      <c r="A8" s="23">
        <v>1</v>
      </c>
      <c r="B8" s="193"/>
      <c r="C8" s="194"/>
      <c r="D8" s="194"/>
      <c r="E8" s="194"/>
      <c r="F8" s="195"/>
      <c r="G8" s="166"/>
      <c r="H8" s="166"/>
      <c r="I8" s="167" t="s">
        <v>143</v>
      </c>
      <c r="J8" s="91" t="s">
        <v>144</v>
      </c>
      <c r="K8" s="91" t="s">
        <v>145</v>
      </c>
    </row>
    <row r="9" spans="1:11" ht="15.75">
      <c r="A9" s="23"/>
      <c r="B9" s="193" t="s">
        <v>146</v>
      </c>
      <c r="C9" s="194"/>
      <c r="D9" s="194"/>
      <c r="E9" s="194"/>
      <c r="F9" s="195"/>
      <c r="G9" s="58"/>
      <c r="H9" s="58"/>
      <c r="I9" s="58"/>
      <c r="J9" s="58"/>
      <c r="K9" s="91"/>
    </row>
    <row r="10" spans="1:11" ht="15.75" customHeight="1">
      <c r="A10" s="92"/>
      <c r="B10" s="213" t="s">
        <v>147</v>
      </c>
      <c r="C10" s="213"/>
      <c r="D10" s="213"/>
      <c r="E10" s="213"/>
      <c r="F10" s="213"/>
      <c r="G10" s="15"/>
      <c r="H10" s="15"/>
      <c r="I10" s="93">
        <v>608677.9</v>
      </c>
      <c r="J10" s="75"/>
      <c r="K10" s="59">
        <f>I10+J10</f>
        <v>608677.9</v>
      </c>
    </row>
    <row r="11" spans="1:11" ht="15.75" customHeight="1">
      <c r="A11" s="92"/>
      <c r="B11" s="213" t="s">
        <v>148</v>
      </c>
      <c r="C11" s="213"/>
      <c r="D11" s="213"/>
      <c r="E11" s="213"/>
      <c r="F11" s="213"/>
      <c r="G11" s="15"/>
      <c r="H11" s="15"/>
      <c r="I11" s="16">
        <v>24877.34</v>
      </c>
      <c r="J11" s="75"/>
      <c r="K11" s="59">
        <f>I11+J11</f>
        <v>24877.34</v>
      </c>
    </row>
    <row r="12" spans="1:11" ht="15.75" customHeight="1">
      <c r="A12" s="23"/>
      <c r="B12" s="213" t="s">
        <v>149</v>
      </c>
      <c r="C12" s="213"/>
      <c r="D12" s="213"/>
      <c r="E12" s="213"/>
      <c r="F12" s="213"/>
      <c r="G12" s="15"/>
      <c r="H12" s="15"/>
      <c r="I12" s="93"/>
      <c r="J12" s="75">
        <v>8674.5</v>
      </c>
      <c r="K12" s="59">
        <f>I12+J12</f>
        <v>8674.5</v>
      </c>
    </row>
    <row r="13" spans="1:11" ht="15.75" customHeight="1">
      <c r="A13" s="23"/>
      <c r="B13" s="213" t="s">
        <v>243</v>
      </c>
      <c r="C13" s="213"/>
      <c r="D13" s="213"/>
      <c r="E13" s="213"/>
      <c r="F13" s="213"/>
      <c r="G13" s="15"/>
      <c r="H13" s="15"/>
      <c r="I13" s="93">
        <v>0</v>
      </c>
      <c r="J13" s="95">
        <v>0</v>
      </c>
      <c r="K13" s="59">
        <f>I13+J13</f>
        <v>0</v>
      </c>
    </row>
    <row r="14" spans="1:11" ht="15.75" customHeight="1">
      <c r="A14" s="23"/>
      <c r="B14" s="201" t="s">
        <v>151</v>
      </c>
      <c r="C14" s="201"/>
      <c r="D14" s="201"/>
      <c r="E14" s="201"/>
      <c r="F14" s="201"/>
      <c r="G14" s="15"/>
      <c r="H14" s="15"/>
      <c r="I14" s="96">
        <f>SUM(I10:I12)</f>
        <v>633555.24</v>
      </c>
      <c r="J14" s="97">
        <f>SUM(J10:J12)</f>
        <v>8674.5</v>
      </c>
      <c r="K14" s="116">
        <f>SUM(K10:K13)</f>
        <v>642229.74</v>
      </c>
    </row>
    <row r="15" spans="1:11" ht="18.75" customHeight="1">
      <c r="A15" s="23">
        <v>2</v>
      </c>
      <c r="B15" s="261" t="s">
        <v>65</v>
      </c>
      <c r="C15" s="261"/>
      <c r="D15" s="261"/>
      <c r="E15" s="261"/>
      <c r="F15" s="261"/>
      <c r="G15" s="15"/>
      <c r="H15" s="15"/>
      <c r="I15" s="93"/>
      <c r="J15" s="75"/>
      <c r="K15" s="35"/>
    </row>
    <row r="16" spans="1:11" ht="15.75">
      <c r="A16" s="23" t="s">
        <v>152</v>
      </c>
      <c r="B16" s="168" t="s">
        <v>66</v>
      </c>
      <c r="C16" s="168"/>
      <c r="D16" s="168"/>
      <c r="E16" s="168"/>
      <c r="F16" s="112"/>
      <c r="G16" s="167"/>
      <c r="H16" s="167"/>
      <c r="I16" s="167"/>
      <c r="J16" s="88"/>
      <c r="K16" s="91"/>
    </row>
    <row r="17" spans="1:11" ht="15.75" customHeight="1">
      <c r="A17" s="26"/>
      <c r="B17" s="214" t="s">
        <v>244</v>
      </c>
      <c r="C17" s="214"/>
      <c r="D17" s="214"/>
      <c r="E17" s="98" t="s">
        <v>32</v>
      </c>
      <c r="F17" s="80" t="s">
        <v>24</v>
      </c>
      <c r="G17" s="81">
        <v>1.22</v>
      </c>
      <c r="H17" s="81">
        <v>1.29</v>
      </c>
      <c r="I17" s="99">
        <f>ROUND($E$3*G17*6,2)+ROUND($E$3*H17*($L$7-6),2)</f>
        <v>55622.65</v>
      </c>
      <c r="J17" s="100"/>
      <c r="K17" s="101">
        <f>SUM(I17:J17)</f>
        <v>55622.65</v>
      </c>
    </row>
    <row r="18" spans="1:11" ht="36" customHeight="1">
      <c r="A18" s="23"/>
      <c r="B18" s="215" t="s">
        <v>17</v>
      </c>
      <c r="C18" s="215"/>
      <c r="D18" s="215"/>
      <c r="E18" s="98" t="s">
        <v>32</v>
      </c>
      <c r="F18" s="80" t="s">
        <v>19</v>
      </c>
      <c r="G18" s="81">
        <v>0.28</v>
      </c>
      <c r="H18" s="81">
        <v>0.3</v>
      </c>
      <c r="I18" s="99">
        <f>ROUND($E$3*G18*6,2)+ROUND($E$3*H18*($L$7-6),2)</f>
        <v>12810.07</v>
      </c>
      <c r="J18" s="100"/>
      <c r="K18" s="101">
        <f aca="true" t="shared" si="0" ref="K18:K37">SUM(I18:J18)</f>
        <v>12810.07</v>
      </c>
    </row>
    <row r="19" spans="1:11" ht="20.25" customHeight="1">
      <c r="A19" s="23"/>
      <c r="B19" s="216" t="s">
        <v>23</v>
      </c>
      <c r="C19" s="216"/>
      <c r="D19" s="216"/>
      <c r="E19" s="102" t="s">
        <v>154</v>
      </c>
      <c r="F19" s="83" t="s">
        <v>20</v>
      </c>
      <c r="G19" s="81">
        <v>0.99</v>
      </c>
      <c r="H19" s="81">
        <v>1.05</v>
      </c>
      <c r="I19" s="99">
        <f>K19-J19</f>
        <v>44477.16</v>
      </c>
      <c r="J19" s="100"/>
      <c r="K19" s="103">
        <v>44477.16</v>
      </c>
    </row>
    <row r="20" spans="1:11" ht="20.25" customHeight="1">
      <c r="A20" s="26"/>
      <c r="B20" s="214" t="s">
        <v>31</v>
      </c>
      <c r="C20" s="214"/>
      <c r="D20" s="214"/>
      <c r="E20" s="104" t="s">
        <v>9</v>
      </c>
      <c r="F20" s="84" t="s">
        <v>10</v>
      </c>
      <c r="G20" s="81">
        <v>0.51</v>
      </c>
      <c r="H20" s="81">
        <v>0.54</v>
      </c>
      <c r="I20" s="99">
        <f>ROUND($E$3*G20*6,2)+ROUND($E$3*H20*($L$7-6),2)</f>
        <v>23260.39</v>
      </c>
      <c r="J20" s="100"/>
      <c r="K20" s="101">
        <f t="shared" si="0"/>
        <v>23260.39</v>
      </c>
    </row>
    <row r="21" spans="1:11" ht="55.5" customHeight="1">
      <c r="A21" s="23"/>
      <c r="B21" s="216" t="s">
        <v>27</v>
      </c>
      <c r="C21" s="216"/>
      <c r="D21" s="216"/>
      <c r="E21" s="102" t="s">
        <v>155</v>
      </c>
      <c r="F21" s="83" t="s">
        <v>25</v>
      </c>
      <c r="G21" s="81">
        <v>0.12</v>
      </c>
      <c r="H21" s="81">
        <v>0.13</v>
      </c>
      <c r="I21" s="99">
        <f>K21-J21</f>
        <v>5058.16</v>
      </c>
      <c r="J21" s="100"/>
      <c r="K21" s="103">
        <v>5058.16</v>
      </c>
    </row>
    <row r="22" spans="1:11" ht="20.25" customHeight="1">
      <c r="A22" s="26"/>
      <c r="B22" s="216" t="s">
        <v>11</v>
      </c>
      <c r="C22" s="216"/>
      <c r="D22" s="216"/>
      <c r="E22" s="102" t="s">
        <v>9</v>
      </c>
      <c r="F22" s="83" t="s">
        <v>12</v>
      </c>
      <c r="G22" s="81">
        <v>2.22</v>
      </c>
      <c r="H22" s="81">
        <v>2.35</v>
      </c>
      <c r="I22" s="99">
        <f>ROUND($E$3*G22*6,2)+ROUND($E$3*H22*($L$7-6),2)</f>
        <v>101244.47</v>
      </c>
      <c r="J22" s="100"/>
      <c r="K22" s="101">
        <f t="shared" si="0"/>
        <v>101244.47</v>
      </c>
    </row>
    <row r="23" spans="1:11" ht="31.5" customHeight="1">
      <c r="A23" s="26"/>
      <c r="B23" s="216" t="s">
        <v>26</v>
      </c>
      <c r="C23" s="217"/>
      <c r="D23" s="217"/>
      <c r="E23" s="105" t="s">
        <v>13</v>
      </c>
      <c r="F23" s="77" t="s">
        <v>14</v>
      </c>
      <c r="G23" s="81">
        <v>0.05</v>
      </c>
      <c r="H23" s="81">
        <v>0.05</v>
      </c>
      <c r="I23" s="99">
        <f>K23-J23</f>
        <v>3909.6</v>
      </c>
      <c r="J23" s="100"/>
      <c r="K23" s="103">
        <v>3909.6</v>
      </c>
    </row>
    <row r="24" spans="1:11" ht="56.25" customHeight="1">
      <c r="A24" s="23"/>
      <c r="B24" s="216" t="s">
        <v>71</v>
      </c>
      <c r="C24" s="216"/>
      <c r="D24" s="216"/>
      <c r="E24" s="98" t="s">
        <v>231</v>
      </c>
      <c r="F24" s="46" t="s">
        <v>82</v>
      </c>
      <c r="G24" s="81">
        <v>2.15</v>
      </c>
      <c r="H24" s="81">
        <v>2.28</v>
      </c>
      <c r="I24" s="99">
        <f>ROUND($E$3*G24*6,2)+ROUND($E$3*H24*($L$7-6),2)</f>
        <v>98098.14</v>
      </c>
      <c r="J24" s="100"/>
      <c r="K24" s="101">
        <f t="shared" si="0"/>
        <v>98098.14</v>
      </c>
    </row>
    <row r="25" spans="1:11" ht="52.5" customHeight="1">
      <c r="A25" s="23"/>
      <c r="B25" s="215" t="s">
        <v>15</v>
      </c>
      <c r="C25" s="215"/>
      <c r="D25" s="215"/>
      <c r="E25" s="98" t="s">
        <v>137</v>
      </c>
      <c r="F25" s="46" t="s">
        <v>82</v>
      </c>
      <c r="G25" s="81">
        <v>0.53</v>
      </c>
      <c r="H25" s="81">
        <v>0.56</v>
      </c>
      <c r="I25" s="99">
        <f>K25-J25</f>
        <v>23959.6</v>
      </c>
      <c r="J25" s="100"/>
      <c r="K25" s="101">
        <v>23959.6</v>
      </c>
    </row>
    <row r="26" spans="1:11" ht="30" customHeight="1">
      <c r="A26" s="23"/>
      <c r="B26" s="221" t="s">
        <v>36</v>
      </c>
      <c r="C26" s="222"/>
      <c r="D26" s="223"/>
      <c r="E26" s="98" t="s">
        <v>35</v>
      </c>
      <c r="F26" s="46" t="s">
        <v>82</v>
      </c>
      <c r="G26" s="48">
        <f>3.52-G27-G28</f>
        <v>2.94</v>
      </c>
      <c r="H26" s="81">
        <f>3.73-H27-H28</f>
        <v>3.11</v>
      </c>
      <c r="I26" s="99">
        <f>ROUND($E$3*G26*6,2)+ROUND($E$3*H26*($L$7-6),2)</f>
        <v>134056.22</v>
      </c>
      <c r="J26" s="107"/>
      <c r="K26" s="101">
        <f t="shared" si="0"/>
        <v>134056.22</v>
      </c>
    </row>
    <row r="27" spans="1:11" ht="26.25" customHeight="1">
      <c r="A27" s="26"/>
      <c r="B27" s="216" t="s">
        <v>156</v>
      </c>
      <c r="C27" s="216"/>
      <c r="D27" s="216"/>
      <c r="E27" s="102" t="s">
        <v>9</v>
      </c>
      <c r="F27" s="46" t="s">
        <v>82</v>
      </c>
      <c r="G27" s="48">
        <v>0.29</v>
      </c>
      <c r="H27" s="81">
        <v>0.31</v>
      </c>
      <c r="I27" s="169">
        <f>ROUND($E$3*G27*6,2)+ROUND($E$3*H27*($L$7-6),2)</f>
        <v>13259.54</v>
      </c>
      <c r="J27" s="107"/>
      <c r="K27" s="101">
        <f t="shared" si="0"/>
        <v>13259.54</v>
      </c>
    </row>
    <row r="28" spans="1:11" ht="28.5" customHeight="1">
      <c r="A28" s="23"/>
      <c r="B28" s="216" t="s">
        <v>157</v>
      </c>
      <c r="C28" s="216"/>
      <c r="D28" s="216"/>
      <c r="E28" s="102" t="s">
        <v>9</v>
      </c>
      <c r="F28" s="46" t="s">
        <v>82</v>
      </c>
      <c r="G28" s="48">
        <v>0.29</v>
      </c>
      <c r="H28" s="81">
        <v>0.31</v>
      </c>
      <c r="I28" s="169">
        <f>ROUND($E$3*G28*6,2)+ROUND($E$3*H28*($L$7-6),2)</f>
        <v>13259.54</v>
      </c>
      <c r="J28" s="107"/>
      <c r="K28" s="101">
        <f t="shared" si="0"/>
        <v>13259.54</v>
      </c>
    </row>
    <row r="29" spans="1:11" ht="27" customHeight="1">
      <c r="A29" s="23"/>
      <c r="B29" s="217" t="s">
        <v>21</v>
      </c>
      <c r="C29" s="217"/>
      <c r="D29" s="217"/>
      <c r="E29" s="98" t="s">
        <v>35</v>
      </c>
      <c r="F29" s="46" t="s">
        <v>82</v>
      </c>
      <c r="G29" s="77">
        <v>1.45</v>
      </c>
      <c r="H29" s="81">
        <v>1.54</v>
      </c>
      <c r="I29" s="99">
        <f>ROUND($E$3*G29*6,2)+ROUND($E$3*H29*($L$7-6),2)</f>
        <v>66185.35</v>
      </c>
      <c r="J29" s="100"/>
      <c r="K29" s="101">
        <f t="shared" si="0"/>
        <v>66185.35</v>
      </c>
    </row>
    <row r="30" spans="1:11" ht="15.75">
      <c r="A30" s="23"/>
      <c r="B30" s="229"/>
      <c r="C30" s="222"/>
      <c r="D30" s="223"/>
      <c r="E30" s="146"/>
      <c r="F30" s="46"/>
      <c r="G30" s="77"/>
      <c r="H30" s="77"/>
      <c r="I30" s="106"/>
      <c r="J30" s="95"/>
      <c r="K30" s="108"/>
    </row>
    <row r="31" spans="1:11" ht="15.75">
      <c r="A31" s="23"/>
      <c r="B31" s="262" t="s">
        <v>30</v>
      </c>
      <c r="C31" s="262"/>
      <c r="D31" s="262"/>
      <c r="E31" s="23"/>
      <c r="F31" s="46"/>
      <c r="G31" s="24">
        <f>SUM(G17:G29)</f>
        <v>13.039999999999996</v>
      </c>
      <c r="H31" s="24">
        <f>SUM(H17:H29)</f>
        <v>13.82</v>
      </c>
      <c r="I31" s="116">
        <f>SUM(I17:I30)</f>
        <v>595200.8899999999</v>
      </c>
      <c r="J31" s="97"/>
      <c r="K31" s="116">
        <f>SUM(K17:K30)</f>
        <v>595200.8899999999</v>
      </c>
    </row>
    <row r="32" spans="1:11" ht="15.75" hidden="1">
      <c r="A32" s="23"/>
      <c r="B32" s="218" t="s">
        <v>158</v>
      </c>
      <c r="C32" s="219"/>
      <c r="D32" s="220"/>
      <c r="E32" s="146" t="s">
        <v>9</v>
      </c>
      <c r="F32" s="46"/>
      <c r="G32" s="77"/>
      <c r="H32" s="77"/>
      <c r="I32" s="106"/>
      <c r="J32" s="95"/>
      <c r="K32" s="108"/>
    </row>
    <row r="33" spans="1:11" ht="25.5" hidden="1">
      <c r="A33" s="23"/>
      <c r="B33" s="218" t="s">
        <v>159</v>
      </c>
      <c r="C33" s="219"/>
      <c r="D33" s="220"/>
      <c r="E33" s="170" t="s">
        <v>35</v>
      </c>
      <c r="F33" s="46"/>
      <c r="G33" s="77"/>
      <c r="H33" s="77"/>
      <c r="I33" s="106"/>
      <c r="J33" s="95"/>
      <c r="K33" s="108"/>
    </row>
    <row r="34" spans="1:11" ht="15.75" hidden="1">
      <c r="A34" s="23"/>
      <c r="B34" s="229"/>
      <c r="C34" s="222"/>
      <c r="D34" s="223"/>
      <c r="E34" s="146"/>
      <c r="F34" s="46"/>
      <c r="G34" s="77"/>
      <c r="H34" s="77"/>
      <c r="I34" s="106"/>
      <c r="J34" s="95"/>
      <c r="K34" s="108"/>
    </row>
    <row r="35" spans="1:11" ht="38.25" customHeight="1">
      <c r="A35" s="23" t="s">
        <v>160</v>
      </c>
      <c r="B35" s="230" t="s">
        <v>161</v>
      </c>
      <c r="C35" s="231"/>
      <c r="D35" s="231"/>
      <c r="E35" s="232"/>
      <c r="F35" s="46" t="s">
        <v>82</v>
      </c>
      <c r="G35" s="24">
        <f>I35/E3/6</f>
        <v>5.210778773505148</v>
      </c>
      <c r="H35" s="24">
        <v>0</v>
      </c>
      <c r="I35" s="171">
        <v>175659</v>
      </c>
      <c r="J35" s="110"/>
      <c r="K35" s="116">
        <f t="shared" si="0"/>
        <v>175659</v>
      </c>
    </row>
    <row r="36" spans="1:11" ht="15" customHeight="1">
      <c r="A36" s="25"/>
      <c r="B36" s="225" t="s">
        <v>69</v>
      </c>
      <c r="C36" s="225"/>
      <c r="D36" s="225"/>
      <c r="E36" s="225"/>
      <c r="F36" s="225"/>
      <c r="G36" s="24">
        <f>SUM(G31:G35)</f>
        <v>18.250778773505143</v>
      </c>
      <c r="H36" s="24">
        <f>SUM(H31:H35)</f>
        <v>13.82</v>
      </c>
      <c r="I36" s="172">
        <f>SUM(I31:I35)</f>
        <v>770859.8899999999</v>
      </c>
      <c r="J36" s="173"/>
      <c r="K36" s="173">
        <f>SUM(K31:K35)</f>
        <v>770859.8899999999</v>
      </c>
    </row>
    <row r="37" spans="1:11" ht="14.25" customHeight="1">
      <c r="A37" s="23" t="s">
        <v>162</v>
      </c>
      <c r="B37" s="225" t="s">
        <v>163</v>
      </c>
      <c r="C37" s="225"/>
      <c r="D37" s="225"/>
      <c r="E37" s="225"/>
      <c r="F37" s="225"/>
      <c r="G37" s="24"/>
      <c r="H37" s="24"/>
      <c r="I37" s="113">
        <v>0</v>
      </c>
      <c r="J37" s="113"/>
      <c r="K37" s="174">
        <f t="shared" si="0"/>
        <v>0</v>
      </c>
    </row>
    <row r="38" spans="1:11" ht="18.75">
      <c r="A38" s="25"/>
      <c r="B38" s="225" t="s">
        <v>164</v>
      </c>
      <c r="C38" s="225"/>
      <c r="D38" s="225"/>
      <c r="E38" s="225"/>
      <c r="F38" s="225"/>
      <c r="G38" s="24">
        <f>SUM(G36:G37)</f>
        <v>18.250778773505143</v>
      </c>
      <c r="H38" s="24">
        <f>SUM(H36:H37)</f>
        <v>13.82</v>
      </c>
      <c r="I38" s="172">
        <f>SUM(I36:I37)</f>
        <v>770859.8899999999</v>
      </c>
      <c r="J38" s="173"/>
      <c r="K38" s="173">
        <f>SUM(K36:K37)</f>
        <v>770859.8899999999</v>
      </c>
    </row>
    <row r="39" spans="1:11" ht="15" customHeight="1">
      <c r="A39" s="23">
        <v>3</v>
      </c>
      <c r="B39" s="263" t="s">
        <v>245</v>
      </c>
      <c r="C39" s="227"/>
      <c r="D39" s="227"/>
      <c r="E39" s="227"/>
      <c r="F39" s="227"/>
      <c r="G39" s="228"/>
      <c r="H39" s="150"/>
      <c r="I39" s="99">
        <f>I14-I38</f>
        <v>-137304.6499999999</v>
      </c>
      <c r="J39" s="99"/>
      <c r="K39" s="97">
        <f>K14-K38</f>
        <v>-128630.1499999999</v>
      </c>
    </row>
    <row r="40" spans="2:6" ht="15.75" customHeight="1">
      <c r="B40" s="34"/>
      <c r="F40" s="34"/>
    </row>
    <row r="41" spans="2:10" ht="15.75">
      <c r="B41" s="264" t="s">
        <v>246</v>
      </c>
      <c r="C41" s="264"/>
      <c r="D41" s="264"/>
      <c r="E41" s="264"/>
      <c r="F41" s="264"/>
      <c r="G41" s="264"/>
      <c r="H41" s="264"/>
      <c r="I41" s="264"/>
      <c r="J41" s="264"/>
    </row>
    <row r="42" spans="2:4" ht="15.75">
      <c r="B42" s="34"/>
      <c r="C42" s="34"/>
      <c r="D42" s="34"/>
    </row>
    <row r="43" spans="2:4" ht="15.75">
      <c r="B43" s="127" t="s">
        <v>79</v>
      </c>
      <c r="C43" s="127"/>
      <c r="D43" s="127"/>
    </row>
    <row r="44" spans="2:9" ht="15.75">
      <c r="B44" s="34" t="s">
        <v>247</v>
      </c>
      <c r="C44" s="34"/>
      <c r="D44" s="34"/>
      <c r="E44" s="34"/>
      <c r="F44" s="34"/>
      <c r="G44" s="34"/>
      <c r="H44" s="34"/>
      <c r="I44" s="34"/>
    </row>
    <row r="45" spans="2:4" ht="15.75" customHeight="1">
      <c r="B45" s="191" t="s">
        <v>87</v>
      </c>
      <c r="C45" s="191"/>
      <c r="D45" s="191"/>
    </row>
    <row r="47" ht="15.75">
      <c r="B47" t="s">
        <v>248</v>
      </c>
    </row>
  </sheetData>
  <mergeCells count="37">
    <mergeCell ref="B38:F38"/>
    <mergeCell ref="B39:G39"/>
    <mergeCell ref="B41:J41"/>
    <mergeCell ref="B45:D45"/>
    <mergeCell ref="B33:D33"/>
    <mergeCell ref="B34:D34"/>
    <mergeCell ref="B37:F37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K1"/>
    <mergeCell ref="A2:K2"/>
    <mergeCell ref="B7:D7"/>
    <mergeCell ref="I7:K7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PageLayoutView="0" workbookViewId="0" topLeftCell="A1">
      <selection activeCell="A13" sqref="A13:I20"/>
    </sheetView>
  </sheetViews>
  <sheetFormatPr defaultColWidth="9.00390625" defaultRowHeight="15.75"/>
  <cols>
    <col min="1" max="1" width="11.875" style="0" customWidth="1"/>
    <col min="2" max="2" width="12.00390625" style="0" bestFit="1" customWidth="1"/>
    <col min="3" max="3" width="12.875" style="0" customWidth="1"/>
    <col min="4" max="4" width="10.50390625" style="0" customWidth="1"/>
    <col min="5" max="5" width="12.75390625" style="0" customWidth="1"/>
    <col min="6" max="6" width="14.625" style="0" customWidth="1"/>
    <col min="7" max="7" width="10.375" style="0" customWidth="1"/>
    <col min="8" max="8" width="12.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8" width="12.875" style="0" customWidth="1"/>
    <col min="19" max="19" width="11.875" style="0" customWidth="1"/>
  </cols>
  <sheetData>
    <row r="1" spans="1:19" ht="104.25" customHeight="1">
      <c r="A1" s="266" t="s">
        <v>201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19" ht="22.5" customHeight="1">
      <c r="A2" s="236" t="s">
        <v>166</v>
      </c>
      <c r="B2" s="262" t="s">
        <v>167</v>
      </c>
      <c r="C2" s="262" t="s">
        <v>168</v>
      </c>
      <c r="D2" s="262"/>
      <c r="E2" s="262"/>
      <c r="F2" s="262"/>
      <c r="G2" s="262"/>
      <c r="H2" s="262"/>
      <c r="I2" s="262"/>
      <c r="J2" s="267" t="s">
        <v>169</v>
      </c>
      <c r="K2" s="267"/>
      <c r="L2" s="267"/>
      <c r="M2" s="268" t="s">
        <v>170</v>
      </c>
      <c r="N2" s="262" t="s">
        <v>171</v>
      </c>
      <c r="O2" s="262"/>
      <c r="P2" s="262"/>
      <c r="Q2" s="262"/>
      <c r="R2" s="262"/>
      <c r="S2" s="195" t="s">
        <v>205</v>
      </c>
    </row>
    <row r="3" spans="1:19" ht="22.5" customHeight="1">
      <c r="A3" s="262"/>
      <c r="B3" s="262"/>
      <c r="C3" s="207" t="s">
        <v>172</v>
      </c>
      <c r="D3" s="208"/>
      <c r="E3" s="209"/>
      <c r="F3" s="207" t="s">
        <v>173</v>
      </c>
      <c r="G3" s="208"/>
      <c r="H3" s="209"/>
      <c r="I3" s="236" t="s">
        <v>174</v>
      </c>
      <c r="J3" s="271" t="s">
        <v>175</v>
      </c>
      <c r="K3" s="274" t="s">
        <v>176</v>
      </c>
      <c r="L3" s="271" t="s">
        <v>177</v>
      </c>
      <c r="M3" s="269"/>
      <c r="N3" s="236" t="s">
        <v>178</v>
      </c>
      <c r="O3" s="262" t="s">
        <v>179</v>
      </c>
      <c r="P3" s="262" t="s">
        <v>180</v>
      </c>
      <c r="Q3" s="262" t="s">
        <v>181</v>
      </c>
      <c r="R3" s="262" t="s">
        <v>182</v>
      </c>
      <c r="S3" s="195"/>
    </row>
    <row r="4" spans="1:19" ht="47.25" customHeight="1">
      <c r="A4" s="262"/>
      <c r="B4" s="262"/>
      <c r="C4" s="11" t="s">
        <v>183</v>
      </c>
      <c r="D4" s="23" t="s">
        <v>181</v>
      </c>
      <c r="E4" s="23" t="s">
        <v>182</v>
      </c>
      <c r="F4" s="11" t="s">
        <v>183</v>
      </c>
      <c r="G4" s="23" t="s">
        <v>181</v>
      </c>
      <c r="H4" s="23" t="s">
        <v>182</v>
      </c>
      <c r="I4" s="236"/>
      <c r="J4" s="272"/>
      <c r="K4" s="275"/>
      <c r="L4" s="272"/>
      <c r="M4" s="270"/>
      <c r="N4" s="262"/>
      <c r="O4" s="262"/>
      <c r="P4" s="262"/>
      <c r="Q4" s="262"/>
      <c r="R4" s="262"/>
      <c r="S4" s="195"/>
    </row>
    <row r="5" spans="1:19" ht="31.5">
      <c r="A5" s="23">
        <v>1</v>
      </c>
      <c r="B5" s="23">
        <v>2</v>
      </c>
      <c r="C5" s="11">
        <v>3</v>
      </c>
      <c r="D5" s="23">
        <v>4</v>
      </c>
      <c r="E5" s="23" t="s">
        <v>184</v>
      </c>
      <c r="F5" s="11">
        <v>6</v>
      </c>
      <c r="G5" s="23">
        <v>7</v>
      </c>
      <c r="H5" s="23" t="s">
        <v>185</v>
      </c>
      <c r="I5" s="11" t="s">
        <v>186</v>
      </c>
      <c r="J5" s="23">
        <v>10</v>
      </c>
      <c r="K5" s="23">
        <v>11</v>
      </c>
      <c r="L5" s="11">
        <v>12</v>
      </c>
      <c r="M5" s="11" t="s">
        <v>187</v>
      </c>
      <c r="N5" s="23">
        <v>14</v>
      </c>
      <c r="O5" s="11">
        <v>15</v>
      </c>
      <c r="P5" s="23">
        <v>16</v>
      </c>
      <c r="Q5" s="23">
        <v>17</v>
      </c>
      <c r="R5" s="11" t="s">
        <v>188</v>
      </c>
      <c r="S5" s="117" t="s">
        <v>189</v>
      </c>
    </row>
    <row r="6" spans="1:19" ht="21" customHeight="1">
      <c r="A6" s="94"/>
      <c r="B6" s="57" t="s">
        <v>190</v>
      </c>
      <c r="C6" s="94">
        <f>'2008'!D9</f>
        <v>505511.7</v>
      </c>
      <c r="D6" s="94">
        <f>'2008'!D13</f>
        <v>22428.52</v>
      </c>
      <c r="E6" s="94">
        <f>SUM(C6:D6)</f>
        <v>527940.22</v>
      </c>
      <c r="F6" s="94">
        <f>'2008'!D10</f>
        <v>464605.67</v>
      </c>
      <c r="G6" s="94">
        <f>'2008'!D14</f>
        <v>22035.95</v>
      </c>
      <c r="H6" s="94">
        <f>SUM(F6:G6)</f>
        <v>486641.62</v>
      </c>
      <c r="I6" s="59">
        <f>E6-H6</f>
        <v>41298.59999999998</v>
      </c>
      <c r="J6" s="94">
        <v>0</v>
      </c>
      <c r="K6" s="94">
        <v>0</v>
      </c>
      <c r="L6" s="94">
        <v>0</v>
      </c>
      <c r="M6" s="94">
        <f>H6+J6+K6+L6</f>
        <v>486641.62</v>
      </c>
      <c r="N6" s="94">
        <f>'2008'!D23</f>
        <v>55606.287000000004</v>
      </c>
      <c r="O6" s="94">
        <f>'2008'!D24</f>
        <v>353858.19</v>
      </c>
      <c r="P6" s="94">
        <f>'2008'!D25</f>
        <v>243310</v>
      </c>
      <c r="Q6" s="59">
        <v>0</v>
      </c>
      <c r="R6" s="94">
        <f>SUM(N6:Q6)</f>
        <v>652774.477</v>
      </c>
      <c r="S6" s="135">
        <f>M6-R6</f>
        <v>-166132.85699999996</v>
      </c>
    </row>
    <row r="7" spans="1:19" ht="21" customHeight="1">
      <c r="A7" s="94">
        <f>S6</f>
        <v>-166132.85699999996</v>
      </c>
      <c r="B7" s="57" t="s">
        <v>191</v>
      </c>
      <c r="C7" s="94">
        <v>826226.17</v>
      </c>
      <c r="D7" s="94">
        <v>31501.66</v>
      </c>
      <c r="E7" s="94">
        <f>SUM(C7:D7)</f>
        <v>857727.8300000001</v>
      </c>
      <c r="F7" s="94">
        <v>773130.66</v>
      </c>
      <c r="G7" s="94">
        <v>31026.63</v>
      </c>
      <c r="H7" s="94">
        <f>SUM(F7:G7)</f>
        <v>804157.29</v>
      </c>
      <c r="I7" s="59">
        <f>E7-H7</f>
        <v>53570.54000000004</v>
      </c>
      <c r="J7" s="94">
        <v>0</v>
      </c>
      <c r="K7" s="94">
        <v>0</v>
      </c>
      <c r="L7" s="94">
        <v>0</v>
      </c>
      <c r="M7" s="94">
        <f>H7+J7+K7+L7</f>
        <v>804157.29</v>
      </c>
      <c r="N7" s="94">
        <f>'отчет 2009'!H31</f>
        <v>84248.64</v>
      </c>
      <c r="O7" s="94">
        <f>'отчет 2009'!H32-'отчет 2009'!H31</f>
        <v>671314.5599999999</v>
      </c>
      <c r="P7" s="94">
        <f>'отчет 2009'!H33</f>
        <v>123720</v>
      </c>
      <c r="Q7" s="59">
        <v>0</v>
      </c>
      <c r="R7" s="94">
        <f>SUM(N7:Q7)</f>
        <v>879283.2</v>
      </c>
      <c r="S7" s="135">
        <f>M7-R7</f>
        <v>-75125.90999999992</v>
      </c>
    </row>
    <row r="8" spans="1:19" ht="21" customHeight="1">
      <c r="A8" s="94">
        <f>A7+S7</f>
        <v>-241258.76699999988</v>
      </c>
      <c r="B8" s="57" t="s">
        <v>192</v>
      </c>
      <c r="C8" s="94">
        <v>826332.31</v>
      </c>
      <c r="D8" s="94">
        <v>31985.04</v>
      </c>
      <c r="E8" s="94">
        <f>SUM(C8:D8)</f>
        <v>858317.3500000001</v>
      </c>
      <c r="F8" s="94">
        <f>'отчте 2010'!H10</f>
        <v>809505.71</v>
      </c>
      <c r="G8" s="94">
        <f>'отчте 2010'!H11</f>
        <v>31372.51</v>
      </c>
      <c r="H8" s="94">
        <f>SUM(F8:G8)</f>
        <v>840878.22</v>
      </c>
      <c r="I8" s="59">
        <f>E8-H8</f>
        <v>17439.13000000012</v>
      </c>
      <c r="J8" s="94">
        <f>'отчте 2010'!I12</f>
        <v>8951.64</v>
      </c>
      <c r="K8" s="94">
        <v>0</v>
      </c>
      <c r="L8" s="94">
        <v>0</v>
      </c>
      <c r="M8" s="94">
        <f>H8+J8+K8+L8</f>
        <v>849829.86</v>
      </c>
      <c r="N8" s="94">
        <f>'отчте 2010'!J29</f>
        <v>85143.804</v>
      </c>
      <c r="O8" s="94">
        <f>'отчте 2010'!J34-'отчте 2010'!J29</f>
        <v>668667.1392</v>
      </c>
      <c r="P8" s="94">
        <f>'отчте 2010'!H35</f>
        <v>72300</v>
      </c>
      <c r="Q8" s="59">
        <v>0</v>
      </c>
      <c r="R8" s="94">
        <f>SUM(N8:Q8)</f>
        <v>826110.9432</v>
      </c>
      <c r="S8" s="135">
        <f>M8-R8</f>
        <v>23718.916800000006</v>
      </c>
    </row>
    <row r="9" spans="1:19" ht="21" customHeight="1">
      <c r="A9" s="94">
        <f>A8+S8</f>
        <v>-217539.85019999987</v>
      </c>
      <c r="B9" s="57" t="s">
        <v>193</v>
      </c>
      <c r="C9" s="94">
        <v>933256.04</v>
      </c>
      <c r="D9" s="134">
        <v>38181.85</v>
      </c>
      <c r="E9" s="94">
        <f>SUM(C9:D9)</f>
        <v>971437.89</v>
      </c>
      <c r="F9" s="94">
        <f>'отчет 2011'!H10</f>
        <v>896087.38</v>
      </c>
      <c r="G9" s="94">
        <f>'отчет 2011'!H11</f>
        <v>36485.58</v>
      </c>
      <c r="H9" s="94">
        <f>SUM(F9:G9)</f>
        <v>932572.96</v>
      </c>
      <c r="I9" s="59">
        <f>E9-H9</f>
        <v>38864.93000000005</v>
      </c>
      <c r="J9" s="94">
        <f>'отчет 2011'!I12</f>
        <v>18938.9</v>
      </c>
      <c r="K9" s="94">
        <f>'отчет 2011'!I13</f>
        <v>0</v>
      </c>
      <c r="L9" s="94">
        <f>'отчет 2011'!H13</f>
        <v>3571565</v>
      </c>
      <c r="M9" s="94">
        <f>H9+J9+K9+L9</f>
        <v>4523076.86</v>
      </c>
      <c r="N9" s="94">
        <f>'отчет 2011'!J29</f>
        <v>98846.69</v>
      </c>
      <c r="O9" s="94">
        <f>'отчет 2011'!J32-'отчет 2011'!J29</f>
        <v>737070.6370000001</v>
      </c>
      <c r="P9" s="94">
        <f>'отчет 2011'!H36</f>
        <v>29596</v>
      </c>
      <c r="Q9" s="59">
        <v>3759934</v>
      </c>
      <c r="R9" s="94">
        <f>SUM(N9:Q9)</f>
        <v>4625447.327</v>
      </c>
      <c r="S9" s="135">
        <f>M9-R9</f>
        <v>-102370.46699999925</v>
      </c>
    </row>
    <row r="10" spans="1:19" ht="21" customHeight="1">
      <c r="A10" s="94">
        <f>A9+S9</f>
        <v>-319910.3171999991</v>
      </c>
      <c r="B10" s="57" t="s">
        <v>249</v>
      </c>
      <c r="C10" s="94">
        <v>630054.73</v>
      </c>
      <c r="D10" s="94">
        <v>26170.38</v>
      </c>
      <c r="E10" s="94">
        <f>SUM(C10:D10)</f>
        <v>656225.11</v>
      </c>
      <c r="F10" s="161">
        <f>'отчет12 (01-08)'!I10</f>
        <v>608677.9</v>
      </c>
      <c r="G10" s="161">
        <f>'отчет12 (01-08)'!I11</f>
        <v>24877.34</v>
      </c>
      <c r="H10" s="94">
        <f>SUM(F10:G10)</f>
        <v>633555.24</v>
      </c>
      <c r="I10" s="59">
        <f>E10-H10</f>
        <v>22669.869999999995</v>
      </c>
      <c r="J10" s="94">
        <f>'отчет12 (01-08)'!J12</f>
        <v>8674.5</v>
      </c>
      <c r="K10" s="94">
        <v>0</v>
      </c>
      <c r="L10" s="94">
        <v>0</v>
      </c>
      <c r="M10" s="94">
        <f>H10+J10+K10+L10</f>
        <v>642229.74</v>
      </c>
      <c r="N10" s="94">
        <f>'отчет12 (01-08)'!K29</f>
        <v>66185.35</v>
      </c>
      <c r="O10" s="94">
        <f>'отчет12 (01-08)'!K31-'отчет12 (01-08)'!K29</f>
        <v>529015.5399999999</v>
      </c>
      <c r="P10" s="162">
        <f>'отчет12 (01-08)'!I35</f>
        <v>175659</v>
      </c>
      <c r="Q10" s="163">
        <f>'отчет12 (01-08)'!I37</f>
        <v>0</v>
      </c>
      <c r="R10" s="94">
        <f>SUM(N10:Q10)</f>
        <v>770859.8899999999</v>
      </c>
      <c r="S10" s="135">
        <f>M10-R10</f>
        <v>-128630.1499999999</v>
      </c>
    </row>
    <row r="11" spans="1:19" ht="21" customHeight="1">
      <c r="A11" s="35"/>
      <c r="B11" s="128" t="s">
        <v>204</v>
      </c>
      <c r="C11" s="129">
        <f aca="true" t="shared" si="0" ref="C11:S11">SUM(C6:C10)</f>
        <v>3721380.95</v>
      </c>
      <c r="D11" s="129">
        <f t="shared" si="0"/>
        <v>150267.45</v>
      </c>
      <c r="E11" s="129">
        <f t="shared" si="0"/>
        <v>3871648.4000000004</v>
      </c>
      <c r="F11" s="129">
        <f t="shared" si="0"/>
        <v>3552007.32</v>
      </c>
      <c r="G11" s="129">
        <f t="shared" si="0"/>
        <v>145798.01</v>
      </c>
      <c r="H11" s="129">
        <f t="shared" si="0"/>
        <v>3697805.33</v>
      </c>
      <c r="I11" s="129">
        <f t="shared" si="0"/>
        <v>173843.07000000018</v>
      </c>
      <c r="J11" s="129">
        <f t="shared" si="0"/>
        <v>36565.04</v>
      </c>
      <c r="K11" s="129">
        <f t="shared" si="0"/>
        <v>0</v>
      </c>
      <c r="L11" s="129">
        <f t="shared" si="0"/>
        <v>3571565</v>
      </c>
      <c r="M11" s="129">
        <f t="shared" si="0"/>
        <v>7305935.370000001</v>
      </c>
      <c r="N11" s="129">
        <f t="shared" si="0"/>
        <v>390030.77099999995</v>
      </c>
      <c r="O11" s="129">
        <f t="shared" si="0"/>
        <v>2959926.0662000002</v>
      </c>
      <c r="P11" s="129">
        <f t="shared" si="0"/>
        <v>644585</v>
      </c>
      <c r="Q11" s="129">
        <f t="shared" si="0"/>
        <v>3759934</v>
      </c>
      <c r="R11" s="129">
        <f t="shared" si="0"/>
        <v>7754475.837199999</v>
      </c>
      <c r="S11" s="136">
        <f t="shared" si="0"/>
        <v>-448540.467199999</v>
      </c>
    </row>
    <row r="13" spans="1:9" ht="18.75" customHeight="1">
      <c r="A13" s="175"/>
      <c r="B13" s="273" t="s">
        <v>250</v>
      </c>
      <c r="C13" s="273"/>
      <c r="D13" s="273"/>
      <c r="E13" s="273"/>
      <c r="F13" s="273" t="s">
        <v>251</v>
      </c>
      <c r="G13" s="273"/>
      <c r="H13" s="273"/>
      <c r="I13" s="273"/>
    </row>
    <row r="14" spans="1:9" ht="18.75">
      <c r="A14" s="175"/>
      <c r="B14" s="175"/>
      <c r="C14" s="175"/>
      <c r="D14" s="175"/>
      <c r="E14" s="175"/>
      <c r="F14" s="175"/>
      <c r="G14" s="175"/>
      <c r="H14" s="175"/>
      <c r="I14" s="175"/>
    </row>
    <row r="16" spans="2:8" ht="18.75">
      <c r="B16" s="265" t="s">
        <v>252</v>
      </c>
      <c r="C16" s="265"/>
      <c r="D16" s="265"/>
      <c r="E16" s="265"/>
      <c r="F16" s="265"/>
      <c r="G16" s="265"/>
      <c r="H16" s="265"/>
    </row>
    <row r="18" ht="15.75">
      <c r="A18" t="s">
        <v>248</v>
      </c>
    </row>
  </sheetData>
  <sheetProtection/>
  <mergeCells count="22">
    <mergeCell ref="S2:S4"/>
    <mergeCell ref="C3:E3"/>
    <mergeCell ref="F3:H3"/>
    <mergeCell ref="R3:R4"/>
    <mergeCell ref="N3:N4"/>
    <mergeCell ref="O3:O4"/>
    <mergeCell ref="P3:P4"/>
    <mergeCell ref="Q3:Q4"/>
    <mergeCell ref="B13:E13"/>
    <mergeCell ref="F13:I13"/>
    <mergeCell ref="K3:K4"/>
    <mergeCell ref="L3:L4"/>
    <mergeCell ref="B16:H16"/>
    <mergeCell ref="A1:S1"/>
    <mergeCell ref="A2:A4"/>
    <mergeCell ref="B2:B4"/>
    <mergeCell ref="C2:I2"/>
    <mergeCell ref="J2:L2"/>
    <mergeCell ref="M2:M4"/>
    <mergeCell ref="N2:R2"/>
    <mergeCell ref="I3:I4"/>
    <mergeCell ref="J3:J4"/>
  </mergeCells>
  <printOptions/>
  <pageMargins left="0" right="0" top="0" bottom="0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2013-03-03T06:04:11Z</cp:lastPrinted>
  <dcterms:created xsi:type="dcterms:W3CDTF">2009-08-26T03:25:10Z</dcterms:created>
  <dcterms:modified xsi:type="dcterms:W3CDTF">2013-03-25T08:23:27Z</dcterms:modified>
  <cp:category/>
  <cp:version/>
  <cp:contentType/>
  <cp:contentStatus/>
</cp:coreProperties>
</file>