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661" yWindow="65476" windowWidth="15480" windowHeight="11640" firstSheet="7" activeTab="7"/>
  </bookViews>
  <sheets>
    <sheet name="2008" sheetId="1" r:id="rId1"/>
    <sheet name="отчет 2009" sheetId="2" state="hidden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state="hidden" r:id="rId6"/>
    <sheet name="07.12" sheetId="7" state="hidden" r:id="rId7"/>
    <sheet name="отчет12(01-08)" sheetId="8" r:id="rId8"/>
    <sheet name="накопит. отчет" sheetId="9" state="hidden" r:id="rId9"/>
  </sheets>
  <definedNames/>
  <calcPr fullCalcOnLoad="1"/>
</workbook>
</file>

<file path=xl/sharedStrings.xml><?xml version="1.0" encoding="utf-8"?>
<sst xmlns="http://schemas.openxmlformats.org/spreadsheetml/2006/main" count="720" uniqueCount="248">
  <si>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</si>
  <si>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</si>
  <si>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</si>
  <si>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</si>
  <si>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</si>
  <si>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</si>
  <si>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</si>
  <si>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</si>
  <si>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</si>
  <si>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</si>
  <si>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</si>
  <si>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</si>
  <si>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</si>
  <si>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</si>
  <si>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</si>
  <si>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</si>
  <si>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</si>
  <si>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</si>
  <si>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</si>
  <si>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</si>
  <si>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</si>
  <si>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</si>
  <si>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</si>
  <si>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</si>
  <si>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</si>
  <si>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</si>
  <si>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</si>
  <si>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</si>
  <si>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</si>
  <si>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</si>
  <si>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</si>
  <si>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</si>
  <si>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</si>
  <si>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</si>
  <si>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</si>
  <si>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</si>
  <si>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</si>
  <si>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</si>
  <si>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</si>
  <si>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</si>
  <si>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</si>
  <si>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</si>
  <si>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</si>
  <si>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</si>
  <si>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</si>
  <si>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</si>
  <si>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</si>
  <si>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</si>
  <si>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</si>
  <si>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</si>
  <si>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</si>
  <si>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</si>
  <si>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</si>
  <si>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</si>
  <si>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</si>
  <si>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</si>
  <si>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</si>
  <si>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</si>
  <si>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</si>
  <si>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</si>
  <si>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</si>
  <si>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</si>
  <si>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</si>
  <si>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</si>
  <si>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</si>
  <si>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</si>
  <si>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</si>
  <si>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</si>
  <si>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</si>
  <si>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</si>
  <si>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</si>
  <si>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</si>
  <si>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</si>
  <si>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</si>
  <si>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</si>
  <si>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</si>
  <si>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</si>
  <si>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</si>
  <si>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</si>
  <si>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</si>
  <si>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</si>
  <si>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</si>
  <si>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</si>
  <si>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</si>
  <si>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 xml:space="preserve">        Представитель собственников  - старший по дому Чибирев П.И.,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</si>
  <si>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Добровольского, 11</t>
  </si>
  <si>
    <t>Старший по дому                                                                     П.И.Чибирев</t>
  </si>
  <si>
    <t>Претензий по управлению нет (да)</t>
  </si>
  <si>
    <t>ОТЧЕТ
о выполненных работах в 2008 году по договору управления МКД 
№178 от 28.03.2008 г., заключенного между ООО "ОЖКС №6" и собственниками многоквартирного дома
по адресу:  ул. Добровольского, 11.</t>
  </si>
  <si>
    <t xml:space="preserve">            Представитель собственников  - старший по дому Чибирев П.И.,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</si>
  <si>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</si>
  <si>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</si>
  <si>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</si>
  <si>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</si>
  <si>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</si>
  <si>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</si>
  <si>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</si>
  <si>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</si>
  <si>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</si>
  <si>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</si>
  <si>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</si>
  <si>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</si>
  <si>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</si>
  <si>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</si>
  <si>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</si>
  <si>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</si>
  <si>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</si>
  <si>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</si>
  <si>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</si>
  <si>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</si>
  <si>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</si>
  <si>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</si>
  <si>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</si>
  <si>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</si>
  <si>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</si>
  <si>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</si>
  <si>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</si>
  <si>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</si>
  <si>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</si>
  <si>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</si>
  <si>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</si>
  <si>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</si>
  <si>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</si>
  <si>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</si>
  <si>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</si>
  <si>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</si>
  <si>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</si>
  <si>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</si>
  <si>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</si>
  <si>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</si>
  <si>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</si>
  <si>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</si>
  <si>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</si>
  <si>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</si>
  <si>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</si>
  <si>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</si>
  <si>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</si>
  <si>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</si>
  <si>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</si>
  <si>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</si>
  <si>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</si>
  <si>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</si>
  <si>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</si>
  <si>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</si>
  <si>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</si>
  <si>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</si>
  <si>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</si>
  <si>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</si>
  <si>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</si>
  <si>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</si>
  <si>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</si>
  <si>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</si>
  <si>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</si>
  <si>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</si>
  <si>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</si>
  <si>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</si>
  <si>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</si>
  <si>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</si>
  <si>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</si>
  <si>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</si>
  <si>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</si>
  <si>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</si>
  <si>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</si>
  <si>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</si>
  <si>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</si>
  <si>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</si>
  <si>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</si>
  <si>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</si>
  <si>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</si>
  <si>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</si>
  <si>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</si>
  <si>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</si>
  <si>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</si>
  <si>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</si>
  <si>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</si>
  <si>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</si>
  <si>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</si>
  <si>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</si>
  <si>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</si>
  <si>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</si>
  <si>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</si>
  <si>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</si>
  <si>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</si>
  <si>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</si>
  <si>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</si>
  <si>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</si>
  <si>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</si>
  <si>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</si>
  <si>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</si>
  <si>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</si>
  <si>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</si>
  <si>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</si>
  <si>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</si>
  <si>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</si>
  <si>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</si>
  <si>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</si>
  <si>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</si>
  <si>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</si>
  <si>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</si>
  <si>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2009 г. о выполненнии условий  договора управления МКД
№178/6 от 28.03.2008 г., заключенного между ООО "ОЖКС №6" и
 собственниками многоквартирного дома
по адресу:  ул. Добровольского, 11</t>
  </si>
  <si>
    <t>ОТЧЕТ
за  2010 г. о выполненнии условий  договора управления МКД 
№178/6 от 28.03.2008 г., заключенного между ООО "ОЖКС №6" и
 собственниками многоквартирного дома
по адресу:  ул. Добровольского, 11</t>
  </si>
  <si>
    <t xml:space="preserve">                     Представитель собственников  - старший по дому Чибирев П.И.,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</si>
  <si>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Смета 
доходов и расходов на  2011 г. согласно договора управления МКД 
№178/6 от 28.03.2008 г., заключенного между ООО "ОЖКС №6" и
 собственниками многоквартирного дома
по адресу:  ул. Добровольского, 11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</si>
  <si>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мусоропроводов</t>
    </r>
  </si>
  <si>
    <t>Итого</t>
  </si>
  <si>
    <t>результат
 за год
(+эконом., 
-перерасх.)</t>
  </si>
  <si>
    <t>ОТЧЕТ
за  2011 г. о выполненнии условий  договора управления МКД 
№179/6 от 28.03.2008 г., заключенного между ООО "ОЖКС №6" и
 собственниками многоквартирного дома
по адресу:  ул. Добровольского, 11</t>
  </si>
  <si>
    <t xml:space="preserve">                     Представитель собственников  - старший по дому 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</si>
  <si>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r>
      <t xml:space="preserve">Сбор, вывоз  бытового мусора, содержание  </t>
    </r>
    <r>
      <rPr>
        <sz val="12"/>
        <rFont val="Times New Roman"/>
        <family val="1"/>
      </rPr>
      <t>мусоропроводов</t>
    </r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</si>
  <si>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</si>
  <si>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  _____________________________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</si>
  <si>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</si>
  <si>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</si>
  <si>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</si>
  <si>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ОТЧЕТ
по  договору управления МКД 
№179/6 от 28.03.2008 г., заключенного между ООО "ОЖКС №6" и
 собственниками многоквартирного дома
по адресу:  ул. Добровольского, 11</t>
  </si>
  <si>
    <t>Смета 
доходов и расходов на  2012 г. согласно договора управления МКД 
№179/6 от 28.03.2008 г., заключенного между ООО "ОЖКС №6" и
 собственниками многоквартирного дома
по адресу:  ул. Добровольского, 11</t>
  </si>
  <si>
    <t xml:space="preserve">         Приложение №7 к Договору                                                                      на оказание услуг и  выполнение работ по содержанию,                     текущему и капитальному ремонту общего имущества МКД                               № ___ от "____"___________2012г.</t>
  </si>
  <si>
    <t>Расчет стоимости договора и тарифа 1 м2 на 2012г.</t>
  </si>
  <si>
    <t xml:space="preserve">         Приложение №7 к Договору                                                                                        на оказание услуг и  выполнение работ                                                            по содержанию, текущему и капитальному ремонту                                     общего имущества МКД  № ___ от "____"___________2012г.</t>
  </si>
  <si>
    <t>43 , 1 нежилое помещение</t>
  </si>
  <si>
    <t>1.1.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</si>
  <si>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</si>
  <si>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</si>
  <si>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</si>
  <si>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по плану работ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</si>
  <si>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</si>
  <si>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</si>
  <si>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 xml:space="preserve">                  Представитель Собственников</t>
  </si>
  <si>
    <t>_________________ Л.И. Никашина</t>
  </si>
  <si>
    <t xml:space="preserve">                   ________________________</t>
  </si>
  <si>
    <t>1.2.</t>
  </si>
  <si>
    <t>1.3.</t>
  </si>
  <si>
    <t>подметание асфальта -   1 раз/неделю,                  подбор мусора - ежедневно</t>
  </si>
  <si>
    <t>Тариф с 1 сентября 2012 г. - 15,36 руб., капитальный ремонт - 0,80 руб.</t>
  </si>
  <si>
    <t>ОТЧЕТ
с 01.01.12г по 31.08.12 г. о выполненнии условий  договора управления МКД 
№179/6 от 28.03.2008 г., заключенного между ООО "ОЖКС №6" и
 собственниками многоквартирного дома
по адресу:  ул. Добровольского, 11</t>
  </si>
  <si>
    <t xml:space="preserve">                     Представитель собственников  - старший по дому 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с 01.01.12г по 31.08.12 г. </t>
  </si>
  <si>
    <t>S жилых и нежилых помещений, кв.м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</si>
  <si>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</si>
  <si>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</si>
  <si>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</si>
  <si>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</si>
  <si>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 xml:space="preserve"> - прочие доходы </t>
  </si>
  <si>
    <t>Сбор, вывоз бытового мусора</t>
  </si>
  <si>
    <t>подметание асфальта -   1 раз/неделю,                
подбор мусора - ежедневно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</si>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</sst>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</numFmts>
  <fonts count="28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0" fontId="2" fillId="0" borderId="26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1"/>
  <sheetViews>
    <sheetView zoomScalePageLayoutView="0" workbookViewId="0" topLeftCell="A13">
      <selection activeCell="D26" sqref="D26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1.75390625" style="0" customWidth="1"/>
  </cols>
  <sheetData>
    <row r="1" spans="1:4" ht="104.25" customHeight="1">
      <c r="A1" s="167" t="s">
        <v>88</v>
      </c>
      <c r="B1" s="168"/>
      <c r="C1" s="168"/>
      <c r="D1" s="168"/>
    </row>
    <row r="2" spans="1:5" ht="80.25" customHeight="1">
      <c r="A2" s="169" t="s">
        <v>89</v>
      </c>
      <c r="B2" s="170"/>
      <c r="C2" s="170"/>
      <c r="D2" s="170"/>
      <c r="E2" t="s">
        <v>81</v>
      </c>
    </row>
    <row r="3" spans="1:5" ht="43.5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2387.9</v>
      </c>
      <c r="E5" s="59">
        <v>2387.9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43</v>
      </c>
      <c r="E6" s="60">
        <v>43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202678.95</v>
      </c>
      <c r="E9" s="59">
        <v>202678.95</v>
      </c>
    </row>
    <row r="10" spans="1:5" ht="16.5" customHeight="1">
      <c r="A10" s="62"/>
      <c r="B10" s="35" t="s">
        <v>109</v>
      </c>
      <c r="C10" s="50" t="s">
        <v>108</v>
      </c>
      <c r="D10" s="59">
        <v>195167.29</v>
      </c>
      <c r="E10" s="59">
        <v>195167.29</v>
      </c>
    </row>
    <row r="11" spans="1:5" ht="15.75">
      <c r="A11" s="62"/>
      <c r="B11" s="57" t="s">
        <v>110</v>
      </c>
      <c r="C11" s="58" t="s">
        <v>108</v>
      </c>
      <c r="D11" s="63">
        <f>D9-D10</f>
        <v>7511.6600000000035</v>
      </c>
      <c r="E11" s="63">
        <f>E9-E10</f>
        <v>7511.6600000000035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10061.69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9912.89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148.8000000000011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3935.17</v>
      </c>
      <c r="E17" s="59">
        <v>3935.17</v>
      </c>
    </row>
    <row r="18" spans="1:5" ht="15.75" customHeight="1">
      <c r="A18" s="62"/>
      <c r="B18" s="35" t="s">
        <v>109</v>
      </c>
      <c r="C18" s="50" t="s">
        <v>108</v>
      </c>
      <c r="D18" s="59">
        <v>3501.22</v>
      </c>
      <c r="E18" s="59">
        <v>3501.22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433.9500000000003</v>
      </c>
      <c r="E19" s="63">
        <f>E17-E18</f>
        <v>433.9500000000003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216675.81000000003</v>
      </c>
      <c r="E20" s="63">
        <f>E9+E13+E17</f>
        <v>206614.12000000002</v>
      </c>
    </row>
    <row r="21" spans="1:5" ht="15.75">
      <c r="A21" s="62"/>
      <c r="B21" s="57" t="s">
        <v>116</v>
      </c>
      <c r="C21" s="50" t="s">
        <v>108</v>
      </c>
      <c r="D21" s="63">
        <f>D11+D15+D19</f>
        <v>8094.410000000005</v>
      </c>
      <c r="E21" s="63">
        <f>E11+E15+E19</f>
        <v>7945.610000000004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22294.684500000003</v>
      </c>
      <c r="E23" s="63">
        <f>E9*0.11</f>
        <v>22294.684500000003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141875.26499999998</v>
      </c>
      <c r="E24" s="63">
        <f>E9*0.7</f>
        <v>141875.26499999998</v>
      </c>
      <c r="F24" t="s">
        <v>81</v>
      </c>
    </row>
    <row r="25" spans="1:5" ht="21" customHeight="1">
      <c r="A25" s="65" t="s">
        <v>123</v>
      </c>
      <c r="B25" s="57" t="s">
        <v>124</v>
      </c>
      <c r="C25" s="58" t="s">
        <v>108</v>
      </c>
      <c r="D25" s="67">
        <v>10570</v>
      </c>
      <c r="E25" s="67">
        <v>10570</v>
      </c>
    </row>
    <row r="26" spans="1:5" ht="15.75">
      <c r="A26" s="68" t="s">
        <v>125</v>
      </c>
      <c r="B26" s="57" t="s">
        <v>126</v>
      </c>
      <c r="C26" s="58"/>
      <c r="D26" s="67">
        <v>241740</v>
      </c>
      <c r="E26" s="67">
        <v>241740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416479.9495</v>
      </c>
      <c r="E27" s="63">
        <f>E23+E24+E25+E26</f>
        <v>416479.9495</v>
      </c>
    </row>
    <row r="28" spans="1:5" ht="17.25" customHeight="1">
      <c r="A28" s="61" t="s">
        <v>62</v>
      </c>
      <c r="B28" s="57" t="s">
        <v>128</v>
      </c>
      <c r="C28" s="50" t="s">
        <v>108</v>
      </c>
      <c r="D28" s="59">
        <f>D20-D27</f>
        <v>-199804.13949999996</v>
      </c>
      <c r="E28" s="59">
        <f>E20-E27</f>
        <v>-209865.82949999996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-207898.54949999996</v>
      </c>
      <c r="E29" s="59">
        <f>E28-E21</f>
        <v>-217811.43949999998</v>
      </c>
    </row>
    <row r="30" spans="1:4" ht="15.75">
      <c r="A30" s="69"/>
      <c r="B30" s="70"/>
      <c r="C30" s="71"/>
      <c r="D30" s="72"/>
    </row>
    <row r="31" spans="2:4" ht="15.75">
      <c r="B31" s="43" t="s">
        <v>79</v>
      </c>
      <c r="C31" s="43"/>
      <c r="D31" s="43"/>
    </row>
    <row r="32" spans="2:4" ht="15.75">
      <c r="B32" s="43" t="s">
        <v>81</v>
      </c>
      <c r="C32" s="43"/>
      <c r="D32" s="43"/>
    </row>
    <row r="33" spans="2:4" ht="15.75">
      <c r="B33" s="44" t="s">
        <v>80</v>
      </c>
      <c r="C33" s="44"/>
      <c r="D33" s="44" t="s">
        <v>81</v>
      </c>
    </row>
    <row r="34" spans="2:4" ht="15.75">
      <c r="B34" s="171" t="s">
        <v>86</v>
      </c>
      <c r="C34" s="171"/>
      <c r="D34" s="44"/>
    </row>
    <row r="35" spans="2:4" ht="17.25" customHeight="1">
      <c r="B35" s="172" t="s">
        <v>131</v>
      </c>
      <c r="C35" s="172"/>
      <c r="D35" s="172"/>
    </row>
    <row r="38" ht="15.75">
      <c r="B38" t="s">
        <v>81</v>
      </c>
    </row>
    <row r="41" ht="15.75">
      <c r="B41" t="s">
        <v>81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44"/>
  <sheetViews>
    <sheetView zoomScalePageLayoutView="0" workbookViewId="0" topLeftCell="A28">
      <selection activeCell="H37" sqref="H37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67" t="s">
        <v>199</v>
      </c>
      <c r="B1" s="167"/>
      <c r="C1" s="167"/>
      <c r="D1" s="167"/>
      <c r="E1" s="167"/>
      <c r="F1" s="167"/>
      <c r="G1" s="167"/>
      <c r="H1" s="167"/>
    </row>
    <row r="2" spans="1:8" ht="78" customHeight="1">
      <c r="A2" s="173" t="s">
        <v>84</v>
      </c>
      <c r="B2" s="173"/>
      <c r="C2" s="173"/>
      <c r="D2" s="173"/>
      <c r="E2" s="173"/>
      <c r="F2" s="173"/>
      <c r="G2" s="173"/>
      <c r="H2" s="173"/>
    </row>
    <row r="3" spans="1:6" ht="18.75">
      <c r="A3" s="1" t="s">
        <v>78</v>
      </c>
      <c r="B3" s="1" t="s">
        <v>85</v>
      </c>
      <c r="C3" s="2"/>
      <c r="D3" s="2" t="s">
        <v>0</v>
      </c>
      <c r="E3" s="4">
        <v>2483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43</v>
      </c>
      <c r="F4" s="2"/>
    </row>
    <row r="5" spans="2:7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17</v>
      </c>
      <c r="F6" s="2"/>
      <c r="G6" s="2"/>
    </row>
    <row r="7" spans="1:8" ht="42" customHeight="1">
      <c r="A7" s="22" t="s">
        <v>61</v>
      </c>
      <c r="B7" s="164"/>
      <c r="C7" s="164"/>
      <c r="D7" s="164"/>
      <c r="E7" s="11" t="s">
        <v>6</v>
      </c>
      <c r="F7" s="11" t="s">
        <v>7</v>
      </c>
      <c r="G7" s="33" t="s">
        <v>23</v>
      </c>
      <c r="H7" s="10" t="s">
        <v>34</v>
      </c>
    </row>
    <row r="8" spans="1:8" ht="15.75">
      <c r="A8" s="23"/>
      <c r="B8" s="165" t="s">
        <v>65</v>
      </c>
      <c r="C8" s="166"/>
      <c r="D8" s="166"/>
      <c r="E8" s="166"/>
      <c r="F8" s="161"/>
      <c r="G8" s="15"/>
      <c r="H8" s="16"/>
    </row>
    <row r="9" spans="1:8" ht="15.75" customHeight="1">
      <c r="A9" s="23"/>
      <c r="B9" s="163" t="s">
        <v>74</v>
      </c>
      <c r="C9" s="163"/>
      <c r="D9" s="163"/>
      <c r="E9" s="163"/>
      <c r="F9" s="163"/>
      <c r="G9" s="15"/>
      <c r="H9" s="32">
        <v>20049.65</v>
      </c>
    </row>
    <row r="10" spans="1:8" ht="15.75">
      <c r="A10" s="23">
        <v>1</v>
      </c>
      <c r="B10" s="162" t="s">
        <v>63</v>
      </c>
      <c r="C10" s="162"/>
      <c r="D10" s="162"/>
      <c r="E10" s="162"/>
      <c r="F10" s="162"/>
      <c r="G10" s="17"/>
      <c r="H10" s="35">
        <v>353331.36</v>
      </c>
    </row>
    <row r="11" spans="1:8" ht="15.75">
      <c r="A11" s="23"/>
      <c r="B11" s="162" t="s">
        <v>76</v>
      </c>
      <c r="C11" s="162"/>
      <c r="D11" s="162"/>
      <c r="E11" s="162"/>
      <c r="F11" s="162"/>
      <c r="G11" s="17"/>
      <c r="H11" s="49">
        <f>H10*0.9</f>
        <v>317998.224</v>
      </c>
    </row>
    <row r="12" spans="1:8" ht="15.75">
      <c r="A12" s="23"/>
      <c r="B12" s="162" t="s">
        <v>77</v>
      </c>
      <c r="C12" s="162"/>
      <c r="D12" s="162"/>
      <c r="E12" s="162"/>
      <c r="F12" s="162"/>
      <c r="G12" s="17"/>
      <c r="H12" s="36">
        <f>H10-H11</f>
        <v>35333.136</v>
      </c>
    </row>
    <row r="13" spans="1:8" ht="15.75">
      <c r="A13" s="23">
        <v>2</v>
      </c>
      <c r="B13" s="162" t="s">
        <v>64</v>
      </c>
      <c r="C13" s="162"/>
      <c r="D13" s="162"/>
      <c r="E13" s="162"/>
      <c r="F13" s="162"/>
      <c r="G13" s="17"/>
      <c r="H13" s="18">
        <v>328424.77</v>
      </c>
    </row>
    <row r="14" spans="1:8" ht="15.75">
      <c r="A14" s="23">
        <v>3</v>
      </c>
      <c r="B14" s="162" t="s">
        <v>68</v>
      </c>
      <c r="C14" s="162"/>
      <c r="D14" s="162"/>
      <c r="E14" s="162"/>
      <c r="F14" s="162"/>
      <c r="G14" s="17"/>
      <c r="H14" s="36">
        <f>H10-H13</f>
        <v>24906.589999999967</v>
      </c>
    </row>
    <row r="15" spans="1:9" ht="15.75">
      <c r="A15" s="23">
        <v>4</v>
      </c>
      <c r="B15" s="163" t="s">
        <v>75</v>
      </c>
      <c r="C15" s="163"/>
      <c r="D15" s="163"/>
      <c r="E15" s="163"/>
      <c r="F15" s="163"/>
      <c r="G15" s="17"/>
      <c r="H15" s="37">
        <f>H9+H10-H13</f>
        <v>44956.23999999999</v>
      </c>
      <c r="I15" s="31"/>
    </row>
    <row r="16" spans="1:8" ht="18.75">
      <c r="A16" s="23">
        <v>5</v>
      </c>
      <c r="B16" s="174" t="s">
        <v>66</v>
      </c>
      <c r="C16" s="174"/>
      <c r="D16" s="174"/>
      <c r="E16" s="174"/>
      <c r="F16" s="174"/>
      <c r="G16" s="17"/>
      <c r="H16" s="36"/>
    </row>
    <row r="17" spans="1:8" ht="15.75">
      <c r="A17" s="23" t="s">
        <v>40</v>
      </c>
      <c r="B17" s="19" t="s">
        <v>67</v>
      </c>
      <c r="C17" s="19"/>
      <c r="D17" s="19"/>
      <c r="E17" s="19"/>
      <c r="F17" s="5"/>
      <c r="G17" s="20"/>
      <c r="H17" s="38"/>
    </row>
    <row r="18" spans="1:8" ht="31.5">
      <c r="A18" s="26" t="s">
        <v>41</v>
      </c>
      <c r="B18" s="179" t="s">
        <v>19</v>
      </c>
      <c r="C18" s="179"/>
      <c r="D18" s="179"/>
      <c r="E18" s="6" t="s">
        <v>33</v>
      </c>
      <c r="F18" s="6" t="s">
        <v>25</v>
      </c>
      <c r="G18" s="12">
        <v>1.06</v>
      </c>
      <c r="H18" s="39">
        <f>ROUND(G18*$E$3*12,2)</f>
        <v>31583.76</v>
      </c>
    </row>
    <row r="19" spans="1:8" ht="15.75">
      <c r="A19" s="23" t="s">
        <v>42</v>
      </c>
      <c r="B19" s="179" t="s">
        <v>18</v>
      </c>
      <c r="C19" s="179"/>
      <c r="D19" s="179"/>
      <c r="E19" s="6" t="s">
        <v>33</v>
      </c>
      <c r="F19" s="6" t="s">
        <v>20</v>
      </c>
      <c r="G19" s="12">
        <v>0.26</v>
      </c>
      <c r="H19" s="39">
        <f aca="true" t="shared" si="0" ref="H19:H31">ROUND(G19*$E$3*12,2)</f>
        <v>7746.96</v>
      </c>
    </row>
    <row r="20" spans="1:8" ht="15.75">
      <c r="A20" s="26" t="s">
        <v>43</v>
      </c>
      <c r="B20" s="162" t="s">
        <v>24</v>
      </c>
      <c r="C20" s="162"/>
      <c r="D20" s="162"/>
      <c r="E20" s="7" t="s">
        <v>8</v>
      </c>
      <c r="F20" s="7" t="s">
        <v>21</v>
      </c>
      <c r="G20" s="12">
        <v>0.9</v>
      </c>
      <c r="H20" s="39">
        <f t="shared" si="0"/>
        <v>26816.4</v>
      </c>
    </row>
    <row r="21" spans="1:8" ht="33" customHeight="1">
      <c r="A21" s="23" t="s">
        <v>44</v>
      </c>
      <c r="B21" s="178" t="s">
        <v>32</v>
      </c>
      <c r="C21" s="178"/>
      <c r="D21" s="178"/>
      <c r="E21" s="8" t="s">
        <v>9</v>
      </c>
      <c r="F21" s="8" t="s">
        <v>10</v>
      </c>
      <c r="G21" s="12">
        <v>0.46</v>
      </c>
      <c r="H21" s="39">
        <f t="shared" si="0"/>
        <v>13706.16</v>
      </c>
    </row>
    <row r="22" spans="1:8" ht="63">
      <c r="A22" s="26" t="s">
        <v>47</v>
      </c>
      <c r="B22" s="162" t="s">
        <v>28</v>
      </c>
      <c r="C22" s="162"/>
      <c r="D22" s="162"/>
      <c r="E22" s="7" t="s">
        <v>35</v>
      </c>
      <c r="F22" s="7" t="s">
        <v>26</v>
      </c>
      <c r="G22" s="12">
        <v>0.11</v>
      </c>
      <c r="H22" s="39">
        <f t="shared" si="0"/>
        <v>3277.56</v>
      </c>
    </row>
    <row r="23" spans="1:8" ht="31.5">
      <c r="A23" s="23" t="s">
        <v>45</v>
      </c>
      <c r="B23" s="162" t="s">
        <v>11</v>
      </c>
      <c r="C23" s="162"/>
      <c r="D23" s="162"/>
      <c r="E23" s="7" t="s">
        <v>9</v>
      </c>
      <c r="F23" s="7" t="s">
        <v>12</v>
      </c>
      <c r="G23" s="12">
        <v>1.89</v>
      </c>
      <c r="H23" s="39">
        <f t="shared" si="0"/>
        <v>56314.44</v>
      </c>
    </row>
    <row r="24" spans="1:8" ht="15.75">
      <c r="A24" s="26" t="s">
        <v>46</v>
      </c>
      <c r="B24" s="162" t="s">
        <v>27</v>
      </c>
      <c r="C24" s="181"/>
      <c r="D24" s="181"/>
      <c r="E24" s="9" t="s">
        <v>13</v>
      </c>
      <c r="F24" s="9" t="s">
        <v>14</v>
      </c>
      <c r="G24" s="12">
        <v>0.04</v>
      </c>
      <c r="H24" s="39">
        <f t="shared" si="0"/>
        <v>1191.84</v>
      </c>
    </row>
    <row r="25" spans="1:8" ht="36.75" customHeight="1">
      <c r="A25" s="23" t="s">
        <v>48</v>
      </c>
      <c r="B25" s="175" t="s">
        <v>82</v>
      </c>
      <c r="C25" s="176"/>
      <c r="D25" s="177"/>
      <c r="E25" s="9" t="s">
        <v>13</v>
      </c>
      <c r="F25" s="45" t="s">
        <v>83</v>
      </c>
      <c r="G25" s="12">
        <v>0.22</v>
      </c>
      <c r="H25" s="39">
        <f t="shared" si="0"/>
        <v>6555.12</v>
      </c>
    </row>
    <row r="26" spans="1:8" ht="31.5">
      <c r="A26" s="26" t="s">
        <v>49</v>
      </c>
      <c r="B26" s="162" t="s">
        <v>72</v>
      </c>
      <c r="C26" s="162"/>
      <c r="D26" s="162"/>
      <c r="E26" s="6" t="s">
        <v>36</v>
      </c>
      <c r="F26" s="46" t="s">
        <v>83</v>
      </c>
      <c r="G26" s="12">
        <v>2.5</v>
      </c>
      <c r="H26" s="39">
        <f t="shared" si="0"/>
        <v>74490</v>
      </c>
    </row>
    <row r="27" spans="1:8" ht="31.5">
      <c r="A27" s="23" t="s">
        <v>50</v>
      </c>
      <c r="B27" s="179" t="s">
        <v>15</v>
      </c>
      <c r="C27" s="179"/>
      <c r="D27" s="179"/>
      <c r="E27" s="6" t="s">
        <v>36</v>
      </c>
      <c r="F27" s="46" t="s">
        <v>83</v>
      </c>
      <c r="G27" s="12">
        <v>0.46</v>
      </c>
      <c r="H27" s="39">
        <f t="shared" si="0"/>
        <v>13706.16</v>
      </c>
    </row>
    <row r="28" spans="1:8" ht="31.5">
      <c r="A28" s="26" t="s">
        <v>51</v>
      </c>
      <c r="B28" s="189" t="s">
        <v>37</v>
      </c>
      <c r="C28" s="190"/>
      <c r="D28" s="190"/>
      <c r="E28" s="6" t="s">
        <v>36</v>
      </c>
      <c r="F28" s="46" t="s">
        <v>83</v>
      </c>
      <c r="G28" s="48">
        <f>2.14-G29-G30</f>
        <v>1.8900000000000001</v>
      </c>
      <c r="H28" s="39">
        <f t="shared" si="0"/>
        <v>56314.44</v>
      </c>
    </row>
    <row r="29" spans="1:8" ht="31.5">
      <c r="A29" s="23" t="s">
        <v>52</v>
      </c>
      <c r="B29" s="162" t="s">
        <v>29</v>
      </c>
      <c r="C29" s="162"/>
      <c r="D29" s="162"/>
      <c r="E29" s="6" t="s">
        <v>36</v>
      </c>
      <c r="F29" s="46" t="s">
        <v>83</v>
      </c>
      <c r="G29" s="13">
        <v>0</v>
      </c>
      <c r="H29" s="39">
        <f t="shared" si="0"/>
        <v>0</v>
      </c>
    </row>
    <row r="30" spans="1:8" ht="31.5">
      <c r="A30" s="26" t="s">
        <v>53</v>
      </c>
      <c r="B30" s="162" t="s">
        <v>30</v>
      </c>
      <c r="C30" s="162"/>
      <c r="D30" s="162"/>
      <c r="E30" s="6" t="s">
        <v>36</v>
      </c>
      <c r="F30" s="46" t="s">
        <v>83</v>
      </c>
      <c r="G30" s="13">
        <v>0.25</v>
      </c>
      <c r="H30" s="39">
        <f t="shared" si="0"/>
        <v>7449</v>
      </c>
    </row>
    <row r="31" spans="1:8" ht="31.5">
      <c r="A31" s="23" t="s">
        <v>54</v>
      </c>
      <c r="B31" s="181" t="s">
        <v>22</v>
      </c>
      <c r="C31" s="181"/>
      <c r="D31" s="181"/>
      <c r="E31" s="6" t="s">
        <v>36</v>
      </c>
      <c r="F31" s="46" t="s">
        <v>83</v>
      </c>
      <c r="G31" s="9">
        <v>1.26</v>
      </c>
      <c r="H31" s="39">
        <f t="shared" si="0"/>
        <v>37542.96</v>
      </c>
    </row>
    <row r="32" spans="1:8" ht="15.75">
      <c r="A32" s="23" t="s">
        <v>55</v>
      </c>
      <c r="B32" s="180" t="s">
        <v>31</v>
      </c>
      <c r="C32" s="180"/>
      <c r="D32" s="180"/>
      <c r="E32" s="14"/>
      <c r="F32" s="46"/>
      <c r="G32" s="21">
        <f>SUM(G18:G31)</f>
        <v>11.299999999999999</v>
      </c>
      <c r="H32" s="40">
        <f>SUM(H18:H31)</f>
        <v>336694.8</v>
      </c>
    </row>
    <row r="33" spans="1:8" ht="15.75">
      <c r="A33" s="23" t="s">
        <v>56</v>
      </c>
      <c r="B33" s="163" t="s">
        <v>38</v>
      </c>
      <c r="C33" s="181"/>
      <c r="D33" s="181"/>
      <c r="E33" s="14"/>
      <c r="F33" s="46" t="s">
        <v>83</v>
      </c>
      <c r="G33" s="24">
        <f>H33/E3/12</f>
        <v>1.3122566787488255</v>
      </c>
      <c r="H33" s="28">
        <v>39100</v>
      </c>
    </row>
    <row r="34" spans="1:8" ht="18.75">
      <c r="A34" s="25" t="s">
        <v>57</v>
      </c>
      <c r="B34" s="188" t="s">
        <v>70</v>
      </c>
      <c r="C34" s="188"/>
      <c r="D34" s="188"/>
      <c r="E34" s="188"/>
      <c r="F34" s="188"/>
      <c r="G34" s="5">
        <f>SUM(G32:G33)</f>
        <v>12.612256678748825</v>
      </c>
      <c r="H34" s="41">
        <f>SUM(H32:H33)</f>
        <v>375794.8</v>
      </c>
    </row>
    <row r="35" spans="1:8" ht="18.75">
      <c r="A35" s="23" t="s">
        <v>62</v>
      </c>
      <c r="B35" s="185" t="s">
        <v>39</v>
      </c>
      <c r="C35" s="186"/>
      <c r="D35" s="186"/>
      <c r="E35" s="186"/>
      <c r="F35" s="186"/>
      <c r="G35" s="187"/>
      <c r="H35" s="29"/>
    </row>
    <row r="36" spans="1:8" ht="15.75" customHeight="1">
      <c r="A36" s="23" t="s">
        <v>58</v>
      </c>
      <c r="B36" s="182" t="s">
        <v>69</v>
      </c>
      <c r="C36" s="183"/>
      <c r="D36" s="183"/>
      <c r="E36" s="183"/>
      <c r="F36" s="183"/>
      <c r="G36" s="184"/>
      <c r="H36" s="30">
        <v>-217811.44</v>
      </c>
    </row>
    <row r="37" spans="1:8" ht="15.75" customHeight="1">
      <c r="A37" s="23" t="s">
        <v>59</v>
      </c>
      <c r="B37" s="182" t="s">
        <v>73</v>
      </c>
      <c r="C37" s="183"/>
      <c r="D37" s="183"/>
      <c r="E37" s="183"/>
      <c r="F37" s="183"/>
      <c r="G37" s="184"/>
      <c r="H37" s="42">
        <f>H13-H34</f>
        <v>-47370.02999999997</v>
      </c>
    </row>
    <row r="38" spans="1:8" ht="15.75" customHeight="1">
      <c r="A38" s="23" t="s">
        <v>60</v>
      </c>
      <c r="B38" s="182" t="s">
        <v>71</v>
      </c>
      <c r="C38" s="183"/>
      <c r="D38" s="183"/>
      <c r="E38" s="183"/>
      <c r="F38" s="183"/>
      <c r="G38" s="184"/>
      <c r="H38" s="42">
        <f>H36+H37</f>
        <v>-265181.47</v>
      </c>
    </row>
    <row r="39" spans="2:6" ht="28.5" customHeight="1">
      <c r="B39" s="34"/>
      <c r="F39" s="34"/>
    </row>
    <row r="40" spans="2:6" ht="15.75">
      <c r="B40" s="43" t="s">
        <v>79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80</v>
      </c>
      <c r="C42" s="44"/>
      <c r="D42" s="44" t="s">
        <v>81</v>
      </c>
    </row>
    <row r="43" spans="2:4" ht="15.75">
      <c r="B43" s="34" t="s">
        <v>86</v>
      </c>
      <c r="C43" s="47"/>
      <c r="D43" s="44"/>
    </row>
    <row r="44" spans="2:4" ht="15.75" customHeight="1">
      <c r="B44" s="172" t="s">
        <v>87</v>
      </c>
      <c r="C44" s="172"/>
      <c r="D44" s="172"/>
    </row>
  </sheetData>
  <sheetProtection/>
  <mergeCells count="34">
    <mergeCell ref="B19:D19"/>
    <mergeCell ref="B33:D33"/>
    <mergeCell ref="B34:F34"/>
    <mergeCell ref="B36:G36"/>
    <mergeCell ref="B26:D26"/>
    <mergeCell ref="B27:D27"/>
    <mergeCell ref="B28:D28"/>
    <mergeCell ref="B20:D20"/>
    <mergeCell ref="B44:D44"/>
    <mergeCell ref="B32:D32"/>
    <mergeCell ref="B23:D23"/>
    <mergeCell ref="B24:D24"/>
    <mergeCell ref="B38:G38"/>
    <mergeCell ref="B35:G35"/>
    <mergeCell ref="B37:G37"/>
    <mergeCell ref="B31:D31"/>
    <mergeCell ref="B9:F9"/>
    <mergeCell ref="B16:F16"/>
    <mergeCell ref="B29:D29"/>
    <mergeCell ref="B30:D30"/>
    <mergeCell ref="B25:D25"/>
    <mergeCell ref="B15:F15"/>
    <mergeCell ref="B21:D21"/>
    <mergeCell ref="B22:D22"/>
    <mergeCell ref="B18:D18"/>
    <mergeCell ref="B11:F11"/>
    <mergeCell ref="B12:F12"/>
    <mergeCell ref="B10:F10"/>
    <mergeCell ref="B13:F13"/>
    <mergeCell ref="B14:F14"/>
    <mergeCell ref="A2:H2"/>
    <mergeCell ref="A1:H1"/>
    <mergeCell ref="B7:D7"/>
    <mergeCell ref="B8:F8"/>
  </mergeCells>
  <printOptions/>
  <pageMargins left="0.54" right="0.31" top="0.5" bottom="0.25" header="0.5" footer="0.27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25390625" style="0" customWidth="1"/>
    <col min="6" max="6" width="18.00390625" style="0" hidden="1" customWidth="1"/>
    <col min="7" max="7" width="5.7539062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67" t="s">
        <v>200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54" customHeight="1">
      <c r="A2" s="211" t="s">
        <v>201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9" ht="18.75">
      <c r="A3" s="1" t="s">
        <v>78</v>
      </c>
      <c r="B3" s="1" t="s">
        <v>85</v>
      </c>
      <c r="C3" s="2"/>
      <c r="D3" s="2" t="s">
        <v>0</v>
      </c>
      <c r="E3" s="4">
        <v>2387.9</v>
      </c>
      <c r="F3" s="2"/>
      <c r="I3" s="87">
        <v>525.6</v>
      </c>
    </row>
    <row r="4" spans="2:9" ht="15.75">
      <c r="B4" s="3" t="s">
        <v>1</v>
      </c>
      <c r="C4" s="27">
        <v>9</v>
      </c>
      <c r="D4" s="2" t="s">
        <v>2</v>
      </c>
      <c r="E4" s="4">
        <v>43</v>
      </c>
      <c r="F4" s="2"/>
      <c r="I4" t="s">
        <v>100</v>
      </c>
    </row>
    <row r="5" spans="2:9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  <c r="I5" s="2" t="s">
        <v>138</v>
      </c>
    </row>
    <row r="6" spans="2:9" ht="15.75">
      <c r="B6" s="3"/>
      <c r="C6" s="4"/>
      <c r="D6" s="2" t="s">
        <v>5</v>
      </c>
      <c r="E6" s="2" t="s">
        <v>17</v>
      </c>
      <c r="F6" s="2"/>
      <c r="G6" s="2"/>
      <c r="I6" t="s">
        <v>139</v>
      </c>
    </row>
    <row r="7" spans="1:10" ht="39" customHeight="1">
      <c r="A7" s="22" t="s">
        <v>61</v>
      </c>
      <c r="B7" s="212" t="s">
        <v>140</v>
      </c>
      <c r="C7" s="213"/>
      <c r="D7" s="214"/>
      <c r="E7" s="11" t="s">
        <v>6</v>
      </c>
      <c r="F7" s="11" t="s">
        <v>7</v>
      </c>
      <c r="G7" s="33" t="s">
        <v>23</v>
      </c>
      <c r="H7" s="215" t="s">
        <v>141</v>
      </c>
      <c r="I7" s="216"/>
      <c r="J7" s="217"/>
    </row>
    <row r="8" spans="1:10" ht="15.75">
      <c r="A8" s="23">
        <v>1</v>
      </c>
      <c r="B8" s="165"/>
      <c r="C8" s="166"/>
      <c r="D8" s="166"/>
      <c r="E8" s="166"/>
      <c r="F8" s="161"/>
      <c r="G8" s="89"/>
      <c r="H8" s="90" t="s">
        <v>142</v>
      </c>
      <c r="I8" s="91" t="s">
        <v>143</v>
      </c>
      <c r="J8" s="91" t="s">
        <v>144</v>
      </c>
    </row>
    <row r="9" spans="1:10" ht="15.75">
      <c r="A9" s="23"/>
      <c r="B9" s="165" t="s">
        <v>145</v>
      </c>
      <c r="C9" s="166"/>
      <c r="D9" s="166"/>
      <c r="E9" s="166"/>
      <c r="F9" s="161"/>
      <c r="G9" s="78"/>
      <c r="H9" s="78"/>
      <c r="I9" s="58"/>
      <c r="J9" s="91"/>
    </row>
    <row r="10" spans="1:10" ht="15.75" customHeight="1">
      <c r="A10" s="92"/>
      <c r="B10" s="210" t="s">
        <v>146</v>
      </c>
      <c r="C10" s="210"/>
      <c r="D10" s="210"/>
      <c r="E10" s="210"/>
      <c r="F10" s="210"/>
      <c r="G10" s="15"/>
      <c r="H10" s="93">
        <v>350246.24</v>
      </c>
      <c r="I10" s="75"/>
      <c r="J10" s="94">
        <f>H10+I10</f>
        <v>350246.24</v>
      </c>
    </row>
    <row r="11" spans="1:10" ht="15.75" customHeight="1">
      <c r="A11" s="92"/>
      <c r="B11" s="210" t="s">
        <v>147</v>
      </c>
      <c r="C11" s="210"/>
      <c r="D11" s="210"/>
      <c r="E11" s="210"/>
      <c r="F11" s="210"/>
      <c r="G11" s="15"/>
      <c r="H11" s="16">
        <v>14867.73</v>
      </c>
      <c r="I11" s="75"/>
      <c r="J11" s="94">
        <f>H11+I11</f>
        <v>14867.73</v>
      </c>
    </row>
    <row r="12" spans="1:10" ht="15.75" customHeight="1">
      <c r="A12" s="23"/>
      <c r="B12" s="210" t="s">
        <v>148</v>
      </c>
      <c r="C12" s="210"/>
      <c r="D12" s="210"/>
      <c r="E12" s="210"/>
      <c r="F12" s="210"/>
      <c r="G12" s="15"/>
      <c r="H12" s="93"/>
      <c r="I12" s="95">
        <v>0</v>
      </c>
      <c r="J12" s="94">
        <f>H12+I12</f>
        <v>0</v>
      </c>
    </row>
    <row r="13" spans="1:10" ht="15.75" customHeight="1">
      <c r="A13" s="23"/>
      <c r="B13" s="210" t="s">
        <v>149</v>
      </c>
      <c r="C13" s="210"/>
      <c r="D13" s="210"/>
      <c r="E13" s="210"/>
      <c r="F13" s="210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163" t="s">
        <v>150</v>
      </c>
      <c r="C14" s="163"/>
      <c r="D14" s="163"/>
      <c r="E14" s="163"/>
      <c r="F14" s="163"/>
      <c r="G14" s="15"/>
      <c r="H14" s="96">
        <f>SUM(H10:H12)</f>
        <v>365113.97</v>
      </c>
      <c r="I14" s="97">
        <f>SUM(I10:I12)</f>
        <v>0</v>
      </c>
      <c r="J14" s="96">
        <f>SUM(J10:J12)</f>
        <v>365113.97</v>
      </c>
    </row>
    <row r="15" spans="1:10" ht="18.75" customHeight="1">
      <c r="A15" s="23">
        <v>2</v>
      </c>
      <c r="B15" s="174" t="s">
        <v>66</v>
      </c>
      <c r="C15" s="174"/>
      <c r="D15" s="174"/>
      <c r="E15" s="174"/>
      <c r="F15" s="174"/>
      <c r="G15" s="15"/>
      <c r="H15" s="93"/>
      <c r="I15" s="75"/>
      <c r="J15" s="35"/>
    </row>
    <row r="16" spans="1:10" ht="15.75">
      <c r="A16" s="23" t="s">
        <v>151</v>
      </c>
      <c r="B16" s="19" t="s">
        <v>67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09" t="s">
        <v>203</v>
      </c>
      <c r="C17" s="209"/>
      <c r="D17" s="209"/>
      <c r="E17" s="98" t="s">
        <v>33</v>
      </c>
      <c r="F17" s="80" t="s">
        <v>25</v>
      </c>
      <c r="G17" s="81">
        <v>1.06</v>
      </c>
      <c r="H17" s="99">
        <f>ROUND(G17*$E$3*12,2)</f>
        <v>30374.09</v>
      </c>
      <c r="I17" s="100">
        <f>$I$12*0.08</f>
        <v>0</v>
      </c>
      <c r="J17" s="101">
        <f>SUM(H17:I17)</f>
        <v>30374.09</v>
      </c>
    </row>
    <row r="18" spans="1:10" ht="36" customHeight="1">
      <c r="A18" s="23"/>
      <c r="B18" s="207" t="s">
        <v>18</v>
      </c>
      <c r="C18" s="207"/>
      <c r="D18" s="207"/>
      <c r="E18" s="98" t="s">
        <v>33</v>
      </c>
      <c r="F18" s="80" t="s">
        <v>20</v>
      </c>
      <c r="G18" s="81">
        <v>0.26</v>
      </c>
      <c r="H18" s="99">
        <f>ROUND(G18*$E$3*12,2)</f>
        <v>7450.25</v>
      </c>
      <c r="I18" s="100">
        <f>$I$12*0.02</f>
        <v>0</v>
      </c>
      <c r="J18" s="101">
        <f>SUM(H18:I18)</f>
        <v>7450.25</v>
      </c>
    </row>
    <row r="19" spans="1:10" ht="20.25" customHeight="1">
      <c r="A19" s="23"/>
      <c r="B19" s="202" t="s">
        <v>24</v>
      </c>
      <c r="C19" s="202"/>
      <c r="D19" s="202"/>
      <c r="E19" s="102" t="s">
        <v>152</v>
      </c>
      <c r="F19" s="83" t="s">
        <v>21</v>
      </c>
      <c r="G19" s="81">
        <v>0.9</v>
      </c>
      <c r="H19" s="99">
        <f>J19-I19</f>
        <v>107154.02</v>
      </c>
      <c r="I19" s="100">
        <f>$I$12*0.07</f>
        <v>0</v>
      </c>
      <c r="J19" s="103">
        <v>107154.02</v>
      </c>
    </row>
    <row r="20" spans="1:10" ht="20.25" customHeight="1">
      <c r="A20" s="26"/>
      <c r="B20" s="209" t="s">
        <v>32</v>
      </c>
      <c r="C20" s="209"/>
      <c r="D20" s="209"/>
      <c r="E20" s="104" t="s">
        <v>9</v>
      </c>
      <c r="F20" s="84" t="s">
        <v>10</v>
      </c>
      <c r="G20" s="81">
        <v>0.46</v>
      </c>
      <c r="H20" s="99">
        <f>ROUND(G20*$E$3*12,2)</f>
        <v>13181.21</v>
      </c>
      <c r="I20" s="100">
        <f>$I$12*0.04</f>
        <v>0</v>
      </c>
      <c r="J20" s="101">
        <f>SUM(H20:I20)</f>
        <v>13181.21</v>
      </c>
    </row>
    <row r="21" spans="1:10" ht="65.25" customHeight="1">
      <c r="A21" s="23"/>
      <c r="B21" s="202" t="s">
        <v>28</v>
      </c>
      <c r="C21" s="202"/>
      <c r="D21" s="202"/>
      <c r="E21" s="102" t="s">
        <v>153</v>
      </c>
      <c r="F21" s="83" t="s">
        <v>26</v>
      </c>
      <c r="G21" s="81">
        <v>0.11</v>
      </c>
      <c r="H21" s="99">
        <f>J21-I21</f>
        <v>1970.89</v>
      </c>
      <c r="I21" s="100">
        <f>$I$12*0.01</f>
        <v>0</v>
      </c>
      <c r="J21" s="103">
        <v>1970.89</v>
      </c>
    </row>
    <row r="22" spans="1:10" ht="20.25" customHeight="1">
      <c r="A22" s="26"/>
      <c r="B22" s="202" t="s">
        <v>11</v>
      </c>
      <c r="C22" s="202"/>
      <c r="D22" s="202"/>
      <c r="E22" s="102" t="s">
        <v>9</v>
      </c>
      <c r="F22" s="83" t="s">
        <v>12</v>
      </c>
      <c r="G22" s="81">
        <v>1.93</v>
      </c>
      <c r="H22" s="99">
        <f>J22-I22</f>
        <v>55303.763999999996</v>
      </c>
      <c r="I22" s="100">
        <f>$I$12*0.15</f>
        <v>0</v>
      </c>
      <c r="J22" s="103">
        <f>G22*E3*12</f>
        <v>55303.763999999996</v>
      </c>
    </row>
    <row r="23" spans="1:10" ht="31.5" customHeight="1">
      <c r="A23" s="26"/>
      <c r="B23" s="202" t="s">
        <v>27</v>
      </c>
      <c r="C23" s="203"/>
      <c r="D23" s="203"/>
      <c r="E23" s="105" t="s">
        <v>13</v>
      </c>
      <c r="F23" s="77" t="s">
        <v>14</v>
      </c>
      <c r="G23" s="81">
        <v>0.04</v>
      </c>
      <c r="H23" s="99">
        <f>J23-I23</f>
        <v>1962.6</v>
      </c>
      <c r="I23" s="100">
        <f>$I$12*0.003</f>
        <v>0</v>
      </c>
      <c r="J23" s="103">
        <v>1962.6</v>
      </c>
    </row>
    <row r="24" spans="1:10" ht="28.5" customHeight="1">
      <c r="A24" s="23"/>
      <c r="B24" s="202" t="s">
        <v>72</v>
      </c>
      <c r="C24" s="202"/>
      <c r="D24" s="202"/>
      <c r="E24" s="98" t="s">
        <v>36</v>
      </c>
      <c r="F24" s="46" t="s">
        <v>83</v>
      </c>
      <c r="G24" s="81">
        <v>1.87</v>
      </c>
      <c r="H24" s="99">
        <f aca="true" t="shared" si="0" ref="H24:H29">ROUND(G24*$E$3*12,2)</f>
        <v>53584.48</v>
      </c>
      <c r="I24" s="100">
        <f>$I$12*0.19</f>
        <v>0</v>
      </c>
      <c r="J24" s="101">
        <f aca="true" t="shared" si="1" ref="J24:J29">SUM(H24:I24)</f>
        <v>53584.48</v>
      </c>
    </row>
    <row r="25" spans="1:10" ht="26.25" customHeight="1">
      <c r="A25" s="23"/>
      <c r="B25" s="207" t="s">
        <v>15</v>
      </c>
      <c r="C25" s="207"/>
      <c r="D25" s="207"/>
      <c r="E25" s="98" t="s">
        <v>36</v>
      </c>
      <c r="F25" s="46" t="s">
        <v>83</v>
      </c>
      <c r="G25" s="81">
        <v>0.46</v>
      </c>
      <c r="H25" s="106">
        <f t="shared" si="0"/>
        <v>13181.21</v>
      </c>
      <c r="I25" s="100">
        <v>0</v>
      </c>
      <c r="J25" s="101">
        <f t="shared" si="1"/>
        <v>13181.21</v>
      </c>
    </row>
    <row r="26" spans="1:10" ht="30" customHeight="1">
      <c r="A26" s="23"/>
      <c r="B26" s="208" t="s">
        <v>37</v>
      </c>
      <c r="C26" s="197"/>
      <c r="D26" s="198"/>
      <c r="E26" s="98" t="s">
        <v>36</v>
      </c>
      <c r="F26" s="46" t="s">
        <v>83</v>
      </c>
      <c r="G26" s="48">
        <f>2.99-G27-G28</f>
        <v>2.74</v>
      </c>
      <c r="H26" s="106">
        <f t="shared" si="0"/>
        <v>78514.15</v>
      </c>
      <c r="I26" s="107">
        <f>$I$12*0.18</f>
        <v>0</v>
      </c>
      <c r="J26" s="101">
        <f t="shared" si="1"/>
        <v>78514.15</v>
      </c>
    </row>
    <row r="27" spans="1:10" ht="26.25" customHeight="1">
      <c r="A27" s="26"/>
      <c r="B27" s="202" t="s">
        <v>154</v>
      </c>
      <c r="C27" s="202"/>
      <c r="D27" s="202"/>
      <c r="E27" s="98" t="s">
        <v>36</v>
      </c>
      <c r="F27" s="46" t="s">
        <v>83</v>
      </c>
      <c r="G27" s="48">
        <v>0</v>
      </c>
      <c r="H27" s="106">
        <f t="shared" si="0"/>
        <v>0</v>
      </c>
      <c r="I27" s="107">
        <f>$I$12*0.02</f>
        <v>0</v>
      </c>
      <c r="J27" s="101">
        <f t="shared" si="1"/>
        <v>0</v>
      </c>
    </row>
    <row r="28" spans="1:10" ht="28.5" customHeight="1">
      <c r="A28" s="23"/>
      <c r="B28" s="202" t="s">
        <v>155</v>
      </c>
      <c r="C28" s="202"/>
      <c r="D28" s="202"/>
      <c r="E28" s="102" t="s">
        <v>9</v>
      </c>
      <c r="F28" s="46" t="s">
        <v>83</v>
      </c>
      <c r="G28" s="48">
        <v>0.25</v>
      </c>
      <c r="H28" s="106">
        <f t="shared" si="0"/>
        <v>7163.7</v>
      </c>
      <c r="I28" s="107">
        <v>0</v>
      </c>
      <c r="J28" s="101">
        <f t="shared" si="1"/>
        <v>7163.7</v>
      </c>
    </row>
    <row r="29" spans="1:10" ht="27" customHeight="1">
      <c r="A29" s="23"/>
      <c r="B29" s="203" t="s">
        <v>22</v>
      </c>
      <c r="C29" s="203"/>
      <c r="D29" s="203"/>
      <c r="E29" s="102" t="s">
        <v>9</v>
      </c>
      <c r="F29" s="46" t="s">
        <v>83</v>
      </c>
      <c r="G29" s="77">
        <v>1.26</v>
      </c>
      <c r="H29" s="99">
        <f t="shared" si="0"/>
        <v>36105.05</v>
      </c>
      <c r="I29" s="100">
        <f>$I$12*0.1</f>
        <v>0</v>
      </c>
      <c r="J29" s="101">
        <f t="shared" si="1"/>
        <v>36105.05</v>
      </c>
    </row>
    <row r="30" spans="1:10" ht="21.75" customHeight="1">
      <c r="A30" s="23"/>
      <c r="B30" s="204" t="s">
        <v>156</v>
      </c>
      <c r="C30" s="205"/>
      <c r="D30" s="206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204" t="s">
        <v>157</v>
      </c>
      <c r="C31" s="205"/>
      <c r="D31" s="206"/>
      <c r="E31" s="98" t="s">
        <v>36</v>
      </c>
      <c r="F31" s="46"/>
      <c r="G31" s="77"/>
      <c r="H31" s="106"/>
      <c r="I31" s="95"/>
      <c r="J31" s="108"/>
    </row>
    <row r="32" spans="1:10" ht="15.75">
      <c r="A32" s="23"/>
      <c r="B32" s="196"/>
      <c r="C32" s="197"/>
      <c r="D32" s="198"/>
      <c r="E32" s="102"/>
      <c r="F32" s="46"/>
      <c r="G32" s="77"/>
      <c r="H32" s="106"/>
      <c r="I32" s="95"/>
      <c r="J32" s="108"/>
    </row>
    <row r="33" spans="1:10" ht="15.75">
      <c r="A33" s="23"/>
      <c r="B33" s="196"/>
      <c r="C33" s="197"/>
      <c r="D33" s="198"/>
      <c r="E33" s="102"/>
      <c r="F33" s="46"/>
      <c r="G33" s="77"/>
      <c r="H33" s="106"/>
      <c r="I33" s="95"/>
      <c r="J33" s="108"/>
    </row>
    <row r="34" spans="1:10" ht="15.75">
      <c r="A34" s="23"/>
      <c r="B34" s="180" t="s">
        <v>31</v>
      </c>
      <c r="C34" s="180"/>
      <c r="D34" s="180"/>
      <c r="E34" s="14"/>
      <c r="F34" s="46"/>
      <c r="G34" s="21">
        <f>SUM(G17:G29)</f>
        <v>11.34</v>
      </c>
      <c r="H34" s="40">
        <f>SUM(H17:H33)</f>
        <v>405945.414</v>
      </c>
      <c r="I34" s="109">
        <f>SUM(I17:I33)</f>
        <v>0</v>
      </c>
      <c r="J34" s="40">
        <f>SUM(J17:J33)</f>
        <v>405945.414</v>
      </c>
    </row>
    <row r="35" spans="1:10" ht="15" customHeight="1">
      <c r="A35" s="23" t="s">
        <v>158</v>
      </c>
      <c r="B35" s="199" t="s">
        <v>159</v>
      </c>
      <c r="C35" s="200"/>
      <c r="D35" s="200"/>
      <c r="E35" s="201"/>
      <c r="F35" s="46" t="s">
        <v>83</v>
      </c>
      <c r="G35" s="24">
        <f>H35/E3/12</f>
        <v>2.2718706813518152</v>
      </c>
      <c r="H35" s="28">
        <v>65100</v>
      </c>
      <c r="I35" s="110">
        <v>0</v>
      </c>
      <c r="J35" s="96">
        <f>SUM(H35:I35)</f>
        <v>65100</v>
      </c>
    </row>
    <row r="36" spans="1:10" ht="14.25" customHeight="1">
      <c r="A36" s="25"/>
      <c r="B36" s="191" t="s">
        <v>70</v>
      </c>
      <c r="C36" s="191"/>
      <c r="D36" s="191"/>
      <c r="E36" s="191"/>
      <c r="F36" s="191"/>
      <c r="G36" s="5">
        <f>SUM(G34:G35)</f>
        <v>13.611870681351816</v>
      </c>
      <c r="H36" s="41">
        <f>SUM(H34:H35)</f>
        <v>471045.414</v>
      </c>
      <c r="I36" s="111">
        <f>SUM(I34:I35)</f>
        <v>0</v>
      </c>
      <c r="J36" s="41">
        <f>SUM(J34:J35)</f>
        <v>471045.414</v>
      </c>
    </row>
    <row r="37" spans="1:10" ht="15.75">
      <c r="A37" s="23" t="s">
        <v>160</v>
      </c>
      <c r="B37" s="192" t="s">
        <v>161</v>
      </c>
      <c r="C37" s="192"/>
      <c r="D37" s="192"/>
      <c r="E37" s="192"/>
      <c r="F37" s="192"/>
      <c r="G37" s="112"/>
      <c r="H37" s="113">
        <v>0</v>
      </c>
      <c r="I37" s="113">
        <v>0</v>
      </c>
      <c r="J37" s="114">
        <f>SUM(H37:I37)</f>
        <v>0</v>
      </c>
    </row>
    <row r="38" spans="1:10" ht="15" customHeight="1">
      <c r="A38" s="25"/>
      <c r="B38" s="191" t="s">
        <v>162</v>
      </c>
      <c r="C38" s="191"/>
      <c r="D38" s="191"/>
      <c r="E38" s="191"/>
      <c r="F38" s="191"/>
      <c r="G38" s="5">
        <f>SUM(G36:G37)</f>
        <v>13.611870681351816</v>
      </c>
      <c r="H38" s="41">
        <f>SUM(H36:H37)</f>
        <v>471045.414</v>
      </c>
      <c r="I38" s="111">
        <f>SUM(I36:I37)</f>
        <v>0</v>
      </c>
      <c r="J38" s="41">
        <f>SUM(J36:J37)</f>
        <v>471045.414</v>
      </c>
    </row>
    <row r="39" spans="1:10" ht="15.75" customHeight="1">
      <c r="A39" s="23">
        <v>3</v>
      </c>
      <c r="B39" s="193" t="s">
        <v>163</v>
      </c>
      <c r="C39" s="194"/>
      <c r="D39" s="194"/>
      <c r="E39" s="194"/>
      <c r="F39" s="194"/>
      <c r="G39" s="195"/>
      <c r="H39" s="115">
        <f>H14-H38</f>
        <v>-105931.44400000002</v>
      </c>
      <c r="I39" s="99">
        <f>I14-I38</f>
        <v>0</v>
      </c>
      <c r="J39" s="116">
        <f>J14-J38</f>
        <v>-105931.44400000002</v>
      </c>
    </row>
    <row r="40" spans="2:6" ht="15.75">
      <c r="B40" s="34"/>
      <c r="F40" s="34"/>
    </row>
    <row r="41" spans="2:6" ht="15.75">
      <c r="B41" s="43" t="s">
        <v>79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34" t="s">
        <v>86</v>
      </c>
      <c r="C43" s="47"/>
      <c r="D43" s="44"/>
    </row>
    <row r="44" spans="2:4" ht="15.75">
      <c r="B44" s="172" t="s">
        <v>87</v>
      </c>
      <c r="C44" s="172"/>
      <c r="D44" s="172"/>
    </row>
  </sheetData>
  <sheetProtection/>
  <mergeCells count="36">
    <mergeCell ref="B12:F12"/>
    <mergeCell ref="B13:F13"/>
    <mergeCell ref="A1:J1"/>
    <mergeCell ref="A2:J2"/>
    <mergeCell ref="B7:D7"/>
    <mergeCell ref="H7:J7"/>
    <mergeCell ref="B8:F8"/>
    <mergeCell ref="B9:F9"/>
    <mergeCell ref="B10:F10"/>
    <mergeCell ref="B11:F11"/>
    <mergeCell ref="B17:D17"/>
    <mergeCell ref="B18:D18"/>
    <mergeCell ref="B19:D19"/>
    <mergeCell ref="B14:F14"/>
    <mergeCell ref="B15:F15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8.00390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167" t="s">
        <v>202</v>
      </c>
      <c r="B1" s="167"/>
      <c r="C1" s="167"/>
      <c r="D1" s="167"/>
      <c r="E1" s="167"/>
      <c r="F1" s="167"/>
      <c r="G1" s="167"/>
      <c r="H1" s="167"/>
    </row>
    <row r="2" spans="1:6" ht="18.75">
      <c r="A2" s="1" t="s">
        <v>78</v>
      </c>
      <c r="B2" s="1" t="s">
        <v>85</v>
      </c>
      <c r="C2" s="2"/>
      <c r="D2" s="2" t="s">
        <v>0</v>
      </c>
      <c r="E2" s="4">
        <v>2387.9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43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17</v>
      </c>
      <c r="F5" s="2"/>
      <c r="G5" s="2"/>
    </row>
    <row r="6" spans="1:8" ht="42" customHeight="1">
      <c r="A6" s="118" t="s">
        <v>61</v>
      </c>
      <c r="B6" s="222" t="s">
        <v>140</v>
      </c>
      <c r="C6" s="223"/>
      <c r="D6" s="224"/>
      <c r="E6" s="73" t="s">
        <v>6</v>
      </c>
      <c r="F6" s="73" t="s">
        <v>7</v>
      </c>
      <c r="G6" s="119" t="s">
        <v>193</v>
      </c>
      <c r="H6" s="120" t="s">
        <v>132</v>
      </c>
    </row>
    <row r="7" spans="1:8" ht="15.75" customHeight="1">
      <c r="A7" s="74">
        <v>1</v>
      </c>
      <c r="B7" s="225" t="s">
        <v>133</v>
      </c>
      <c r="C7" s="225"/>
      <c r="D7" s="225"/>
      <c r="E7" s="225"/>
      <c r="F7" s="225"/>
      <c r="G7" s="75"/>
      <c r="H7" s="76"/>
    </row>
    <row r="8" spans="1:8" ht="15.75" customHeight="1">
      <c r="A8" s="74"/>
      <c r="B8" s="163" t="s">
        <v>194</v>
      </c>
      <c r="C8" s="163"/>
      <c r="D8" s="163"/>
      <c r="E8" s="163"/>
      <c r="F8" s="163"/>
      <c r="G8" s="24">
        <f>G31</f>
        <v>14.489999999999997</v>
      </c>
      <c r="H8" s="76">
        <f>ROUND($E$2*G8*12,0)</f>
        <v>415208</v>
      </c>
    </row>
    <row r="9" spans="1:8" ht="15.75" customHeight="1">
      <c r="A9" s="74"/>
      <c r="B9" s="227" t="s">
        <v>134</v>
      </c>
      <c r="C9" s="227"/>
      <c r="D9" s="227"/>
      <c r="E9" s="227"/>
      <c r="F9" s="227"/>
      <c r="G9" s="23">
        <v>0.76</v>
      </c>
      <c r="H9" s="76">
        <f>ROUND($E$2*G9*12,0)</f>
        <v>21778</v>
      </c>
    </row>
    <row r="10" spans="1:8" ht="15.75" customHeight="1">
      <c r="A10" s="74">
        <v>2</v>
      </c>
      <c r="B10" s="174" t="s">
        <v>66</v>
      </c>
      <c r="C10" s="174"/>
      <c r="D10" s="174"/>
      <c r="E10" s="174"/>
      <c r="F10" s="174"/>
      <c r="G10" s="77"/>
      <c r="H10" s="76"/>
    </row>
    <row r="11" spans="1:8" ht="18.75" customHeight="1">
      <c r="A11" s="74" t="s">
        <v>151</v>
      </c>
      <c r="B11" s="19" t="s">
        <v>67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26" t="s">
        <v>203</v>
      </c>
      <c r="C12" s="226"/>
      <c r="D12" s="226"/>
      <c r="E12" s="98" t="s">
        <v>33</v>
      </c>
      <c r="F12" s="80" t="s">
        <v>25</v>
      </c>
      <c r="G12" s="81">
        <v>1.22</v>
      </c>
      <c r="H12" s="82">
        <f aca="true" t="shared" si="0" ref="H12:H31">ROUND($E$2*G12*12,0)</f>
        <v>34959</v>
      </c>
    </row>
    <row r="13" spans="1:9" ht="15.75" customHeight="1">
      <c r="A13" s="79"/>
      <c r="B13" s="226" t="s">
        <v>18</v>
      </c>
      <c r="C13" s="226"/>
      <c r="D13" s="226"/>
      <c r="E13" s="98" t="s">
        <v>33</v>
      </c>
      <c r="F13" s="80" t="s">
        <v>20</v>
      </c>
      <c r="G13" s="81">
        <v>0.28</v>
      </c>
      <c r="H13" s="82">
        <f t="shared" si="0"/>
        <v>8023</v>
      </c>
      <c r="I13" s="31"/>
    </row>
    <row r="14" spans="1:8" ht="18.75" customHeight="1">
      <c r="A14" s="79"/>
      <c r="B14" s="228" t="s">
        <v>24</v>
      </c>
      <c r="C14" s="228"/>
      <c r="D14" s="228"/>
      <c r="E14" s="102" t="s">
        <v>152</v>
      </c>
      <c r="F14" s="83" t="s">
        <v>21</v>
      </c>
      <c r="G14" s="81">
        <v>0.99</v>
      </c>
      <c r="H14" s="82">
        <f t="shared" si="0"/>
        <v>28368</v>
      </c>
    </row>
    <row r="15" spans="1:8" ht="15.75" customHeight="1">
      <c r="A15" s="79"/>
      <c r="B15" s="230" t="s">
        <v>32</v>
      </c>
      <c r="C15" s="230"/>
      <c r="D15" s="230"/>
      <c r="E15" s="104" t="s">
        <v>9</v>
      </c>
      <c r="F15" s="84" t="s">
        <v>10</v>
      </c>
      <c r="G15" s="81">
        <v>0.51</v>
      </c>
      <c r="H15" s="82">
        <f t="shared" si="0"/>
        <v>14614</v>
      </c>
    </row>
    <row r="16" spans="1:8" ht="31.5" customHeight="1">
      <c r="A16" s="79"/>
      <c r="B16" s="228" t="s">
        <v>28</v>
      </c>
      <c r="C16" s="228"/>
      <c r="D16" s="228"/>
      <c r="E16" s="102" t="s">
        <v>153</v>
      </c>
      <c r="F16" s="83" t="s">
        <v>26</v>
      </c>
      <c r="G16" s="81">
        <v>0.12</v>
      </c>
      <c r="H16" s="82">
        <f t="shared" si="0"/>
        <v>3439</v>
      </c>
    </row>
    <row r="17" spans="1:8" ht="15.75" customHeight="1">
      <c r="A17" s="79"/>
      <c r="B17" s="228" t="s">
        <v>11</v>
      </c>
      <c r="C17" s="228"/>
      <c r="D17" s="228"/>
      <c r="E17" s="102" t="s">
        <v>9</v>
      </c>
      <c r="F17" s="83" t="s">
        <v>12</v>
      </c>
      <c r="G17" s="81">
        <v>2.22</v>
      </c>
      <c r="H17" s="82">
        <f t="shared" si="0"/>
        <v>63614</v>
      </c>
    </row>
    <row r="18" spans="1:8" ht="15.75" customHeight="1">
      <c r="A18" s="79"/>
      <c r="B18" s="228" t="s">
        <v>27</v>
      </c>
      <c r="C18" s="229"/>
      <c r="D18" s="229"/>
      <c r="E18" s="105" t="s">
        <v>13</v>
      </c>
      <c r="F18" s="77" t="s">
        <v>135</v>
      </c>
      <c r="G18" s="81">
        <v>0.05</v>
      </c>
      <c r="H18" s="82">
        <f t="shared" si="0"/>
        <v>1433</v>
      </c>
    </row>
    <row r="19" spans="1:8" ht="33" customHeight="1">
      <c r="A19" s="79"/>
      <c r="B19" s="228" t="s">
        <v>72</v>
      </c>
      <c r="C19" s="228"/>
      <c r="D19" s="228"/>
      <c r="E19" s="98" t="s">
        <v>36</v>
      </c>
      <c r="F19" s="83" t="s">
        <v>83</v>
      </c>
      <c r="G19" s="81">
        <v>2.15</v>
      </c>
      <c r="H19" s="82">
        <f t="shared" si="0"/>
        <v>61608</v>
      </c>
    </row>
    <row r="20" spans="1:8" ht="51">
      <c r="A20" s="79"/>
      <c r="B20" s="226" t="s">
        <v>15</v>
      </c>
      <c r="C20" s="226"/>
      <c r="D20" s="226"/>
      <c r="E20" s="98" t="s">
        <v>136</v>
      </c>
      <c r="F20" s="83" t="s">
        <v>83</v>
      </c>
      <c r="G20" s="81">
        <v>0.53</v>
      </c>
      <c r="H20" s="82">
        <f t="shared" si="0"/>
        <v>15187</v>
      </c>
    </row>
    <row r="21" spans="1:8" ht="25.5">
      <c r="A21" s="79"/>
      <c r="B21" s="228" t="s">
        <v>37</v>
      </c>
      <c r="C21" s="229"/>
      <c r="D21" s="229"/>
      <c r="E21" s="98" t="s">
        <v>36</v>
      </c>
      <c r="F21" s="83" t="s">
        <v>83</v>
      </c>
      <c r="G21" s="81">
        <f>3.52-G22-G23</f>
        <v>3.23</v>
      </c>
      <c r="H21" s="82">
        <f t="shared" si="0"/>
        <v>92555</v>
      </c>
    </row>
    <row r="22" spans="1:8" ht="15.75" customHeight="1">
      <c r="A22" s="79"/>
      <c r="B22" s="228" t="s">
        <v>195</v>
      </c>
      <c r="C22" s="228"/>
      <c r="D22" s="228"/>
      <c r="E22" s="102" t="s">
        <v>9</v>
      </c>
      <c r="F22" s="83" t="s">
        <v>83</v>
      </c>
      <c r="G22" s="81">
        <v>0</v>
      </c>
      <c r="H22" s="82">
        <f t="shared" si="0"/>
        <v>0</v>
      </c>
    </row>
    <row r="23" spans="1:8" ht="36.75" customHeight="1">
      <c r="A23" s="79"/>
      <c r="B23" s="228" t="s">
        <v>155</v>
      </c>
      <c r="C23" s="228"/>
      <c r="D23" s="228"/>
      <c r="E23" s="102" t="s">
        <v>9</v>
      </c>
      <c r="F23" s="83" t="s">
        <v>83</v>
      </c>
      <c r="G23" s="81">
        <v>0.29</v>
      </c>
      <c r="H23" s="82">
        <f t="shared" si="0"/>
        <v>8310</v>
      </c>
    </row>
    <row r="24" spans="1:8" ht="25.5">
      <c r="A24" s="79"/>
      <c r="B24" s="229" t="s">
        <v>22</v>
      </c>
      <c r="C24" s="229"/>
      <c r="D24" s="229"/>
      <c r="E24" s="98" t="s">
        <v>36</v>
      </c>
      <c r="F24" s="83" t="s">
        <v>83</v>
      </c>
      <c r="G24" s="81">
        <v>1.45</v>
      </c>
      <c r="H24" s="82">
        <f t="shared" si="0"/>
        <v>41549</v>
      </c>
    </row>
    <row r="25" spans="1:8" ht="15.75">
      <c r="A25" s="23"/>
      <c r="B25" s="204" t="s">
        <v>156</v>
      </c>
      <c r="C25" s="205"/>
      <c r="D25" s="206"/>
      <c r="E25" s="102" t="s">
        <v>9</v>
      </c>
      <c r="F25" s="83"/>
      <c r="G25" s="81"/>
      <c r="H25" s="82"/>
    </row>
    <row r="26" spans="1:8" ht="31.5" customHeight="1">
      <c r="A26" s="23"/>
      <c r="B26" s="204" t="s">
        <v>157</v>
      </c>
      <c r="C26" s="205"/>
      <c r="D26" s="206"/>
      <c r="E26" s="98" t="s">
        <v>36</v>
      </c>
      <c r="F26" s="83"/>
      <c r="G26" s="81"/>
      <c r="H26" s="82"/>
    </row>
    <row r="27" spans="1:8" ht="15.75" customHeight="1">
      <c r="A27" s="79"/>
      <c r="B27" s="196"/>
      <c r="C27" s="197"/>
      <c r="D27" s="198"/>
      <c r="E27" s="98"/>
      <c r="F27" s="83"/>
      <c r="G27" s="81"/>
      <c r="H27" s="82"/>
    </row>
    <row r="28" spans="1:8" ht="15.75">
      <c r="A28" s="79"/>
      <c r="B28" s="196"/>
      <c r="C28" s="197"/>
      <c r="D28" s="198"/>
      <c r="E28" s="98"/>
      <c r="F28" s="83"/>
      <c r="G28" s="81"/>
      <c r="H28" s="82"/>
    </row>
    <row r="29" spans="1:8" ht="15.75">
      <c r="A29" s="79"/>
      <c r="B29" s="231" t="s">
        <v>31</v>
      </c>
      <c r="C29" s="232"/>
      <c r="D29" s="233"/>
      <c r="E29" s="14"/>
      <c r="F29" s="83"/>
      <c r="G29" s="21">
        <f>SUM(G12:G28)</f>
        <v>13.039999999999997</v>
      </c>
      <c r="H29" s="82">
        <f t="shared" si="0"/>
        <v>373659</v>
      </c>
    </row>
    <row r="30" spans="1:8" ht="15.75">
      <c r="A30" s="74" t="s">
        <v>158</v>
      </c>
      <c r="B30" s="199" t="s">
        <v>196</v>
      </c>
      <c r="C30" s="200"/>
      <c r="D30" s="200"/>
      <c r="E30" s="201"/>
      <c r="F30" s="51" t="s">
        <v>137</v>
      </c>
      <c r="G30" s="24">
        <v>1.45</v>
      </c>
      <c r="H30" s="82">
        <f t="shared" si="0"/>
        <v>41549</v>
      </c>
    </row>
    <row r="31" spans="1:8" ht="15.75" customHeight="1">
      <c r="A31" s="74"/>
      <c r="B31" s="218" t="s">
        <v>197</v>
      </c>
      <c r="C31" s="218"/>
      <c r="D31" s="218"/>
      <c r="E31" s="218"/>
      <c r="F31" s="218"/>
      <c r="G31" s="21">
        <f>SUM(G29:G30)</f>
        <v>14.489999999999997</v>
      </c>
      <c r="H31" s="121">
        <f t="shared" si="0"/>
        <v>415208</v>
      </c>
    </row>
    <row r="32" spans="1:8" ht="16.5" thickBot="1">
      <c r="A32" s="122">
        <v>3</v>
      </c>
      <c r="B32" s="219" t="s">
        <v>198</v>
      </c>
      <c r="C32" s="220"/>
      <c r="D32" s="221"/>
      <c r="E32" s="123"/>
      <c r="F32" s="124" t="s">
        <v>137</v>
      </c>
      <c r="G32" s="125">
        <v>0.76</v>
      </c>
      <c r="H32" s="126">
        <f>ROUND($E$2*G32*12,0)</f>
        <v>21778</v>
      </c>
    </row>
    <row r="33" spans="7:8" ht="15.75">
      <c r="G33" s="85"/>
      <c r="H33" s="86"/>
    </row>
    <row r="34" spans="1:8" ht="15.75" customHeight="1">
      <c r="A34" s="43" t="s">
        <v>79</v>
      </c>
      <c r="B34" s="43"/>
      <c r="C34" s="43"/>
      <c r="D34" s="34"/>
      <c r="G34" s="85"/>
      <c r="H34" s="86"/>
    </row>
  </sheetData>
  <sheetProtection/>
  <mergeCells count="27">
    <mergeCell ref="B13:D13"/>
    <mergeCell ref="B14:D14"/>
    <mergeCell ref="B15:D15"/>
    <mergeCell ref="B29:D29"/>
    <mergeCell ref="B24:D24"/>
    <mergeCell ref="B25:D25"/>
    <mergeCell ref="B26:D26"/>
    <mergeCell ref="B27:D27"/>
    <mergeCell ref="B28:D28"/>
    <mergeCell ref="B20:D20"/>
    <mergeCell ref="B21:D21"/>
    <mergeCell ref="B22:D22"/>
    <mergeCell ref="B23:D23"/>
    <mergeCell ref="B16:D16"/>
    <mergeCell ref="B17:D17"/>
    <mergeCell ref="B18:D18"/>
    <mergeCell ref="B19:D19"/>
    <mergeCell ref="B30:E30"/>
    <mergeCell ref="B31:F31"/>
    <mergeCell ref="B32:D32"/>
    <mergeCell ref="A1:H1"/>
    <mergeCell ref="B6:D6"/>
    <mergeCell ref="B7:F7"/>
    <mergeCell ref="B12:D12"/>
    <mergeCell ref="B8:F8"/>
    <mergeCell ref="B9:F9"/>
    <mergeCell ref="B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45"/>
  <sheetViews>
    <sheetView zoomScalePageLayoutView="0" workbookViewId="0" topLeftCell="B22">
      <selection activeCell="G17" sqref="G17:G29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18.00390625" style="0" hidden="1" customWidth="1"/>
    <col min="7" max="7" width="6.75390625" style="0" bestFit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67" t="s">
        <v>206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54" customHeight="1">
      <c r="A2" s="211" t="s">
        <v>207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9" ht="18.75">
      <c r="A3" s="1" t="s">
        <v>78</v>
      </c>
      <c r="B3" s="1" t="s">
        <v>85</v>
      </c>
      <c r="C3" s="2"/>
      <c r="D3" s="2" t="s">
        <v>0</v>
      </c>
      <c r="E3" s="4">
        <v>2387.9</v>
      </c>
      <c r="F3" s="2"/>
      <c r="I3" s="87">
        <v>525.6</v>
      </c>
    </row>
    <row r="4" spans="2:9" ht="15.75">
      <c r="B4" s="3" t="s">
        <v>1</v>
      </c>
      <c r="C4" s="27">
        <v>9</v>
      </c>
      <c r="D4" s="2" t="s">
        <v>2</v>
      </c>
      <c r="E4" s="4">
        <v>43</v>
      </c>
      <c r="F4" s="2"/>
      <c r="I4" t="s">
        <v>100</v>
      </c>
    </row>
    <row r="5" spans="2:9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  <c r="I5" s="2" t="s">
        <v>138</v>
      </c>
    </row>
    <row r="6" spans="2:9" ht="15.75">
      <c r="B6" s="3"/>
      <c r="C6" s="4"/>
      <c r="D6" s="2" t="s">
        <v>5</v>
      </c>
      <c r="E6" s="2" t="s">
        <v>17</v>
      </c>
      <c r="F6" s="2"/>
      <c r="G6" s="2"/>
      <c r="I6" t="s">
        <v>139</v>
      </c>
    </row>
    <row r="7" spans="1:10" ht="39" customHeight="1">
      <c r="A7" s="22" t="s">
        <v>61</v>
      </c>
      <c r="B7" s="212" t="s">
        <v>140</v>
      </c>
      <c r="C7" s="213"/>
      <c r="D7" s="214"/>
      <c r="E7" s="11" t="s">
        <v>6</v>
      </c>
      <c r="F7" s="11" t="s">
        <v>7</v>
      </c>
      <c r="G7" s="33" t="s">
        <v>23</v>
      </c>
      <c r="H7" s="215" t="s">
        <v>141</v>
      </c>
      <c r="I7" s="216"/>
      <c r="J7" s="217"/>
    </row>
    <row r="8" spans="1:10" ht="15.75">
      <c r="A8" s="23">
        <v>1</v>
      </c>
      <c r="B8" s="165"/>
      <c r="C8" s="166"/>
      <c r="D8" s="166"/>
      <c r="E8" s="166"/>
      <c r="F8" s="161"/>
      <c r="G8" s="89"/>
      <c r="H8" s="90" t="s">
        <v>142</v>
      </c>
      <c r="I8" s="91" t="s">
        <v>143</v>
      </c>
      <c r="J8" s="91" t="s">
        <v>144</v>
      </c>
    </row>
    <row r="9" spans="1:10" ht="15.75">
      <c r="A9" s="23"/>
      <c r="B9" s="165" t="s">
        <v>145</v>
      </c>
      <c r="C9" s="166"/>
      <c r="D9" s="166"/>
      <c r="E9" s="166"/>
      <c r="F9" s="161"/>
      <c r="G9" s="78"/>
      <c r="H9" s="78"/>
      <c r="I9" s="58"/>
      <c r="J9" s="91"/>
    </row>
    <row r="10" spans="1:10" ht="15.75" customHeight="1">
      <c r="A10" s="92"/>
      <c r="B10" s="210" t="s">
        <v>146</v>
      </c>
      <c r="C10" s="210"/>
      <c r="D10" s="210"/>
      <c r="E10" s="210"/>
      <c r="F10" s="210"/>
      <c r="G10" s="15"/>
      <c r="H10" s="93">
        <v>389442.03</v>
      </c>
      <c r="I10" s="75"/>
      <c r="J10" s="94">
        <f>H10+I10</f>
        <v>389442.03</v>
      </c>
    </row>
    <row r="11" spans="1:10" ht="15.75" customHeight="1">
      <c r="A11" s="92"/>
      <c r="B11" s="210" t="s">
        <v>147</v>
      </c>
      <c r="C11" s="210"/>
      <c r="D11" s="210"/>
      <c r="E11" s="210"/>
      <c r="F11" s="210"/>
      <c r="G11" s="15"/>
      <c r="H11" s="16">
        <v>16365.61</v>
      </c>
      <c r="I11" s="75"/>
      <c r="J11" s="94">
        <f>H11+I11</f>
        <v>16365.61</v>
      </c>
    </row>
    <row r="12" spans="1:10" ht="15.75" customHeight="1">
      <c r="A12" s="23"/>
      <c r="B12" s="210" t="s">
        <v>148</v>
      </c>
      <c r="C12" s="210"/>
      <c r="D12" s="210"/>
      <c r="E12" s="210"/>
      <c r="F12" s="210"/>
      <c r="G12" s="15"/>
      <c r="H12" s="93"/>
      <c r="I12" s="95">
        <v>0</v>
      </c>
      <c r="J12" s="94">
        <f>H12+I12</f>
        <v>0</v>
      </c>
    </row>
    <row r="13" spans="1:10" ht="15.75" customHeight="1">
      <c r="A13" s="23"/>
      <c r="B13" s="210" t="s">
        <v>149</v>
      </c>
      <c r="C13" s="210"/>
      <c r="D13" s="210"/>
      <c r="E13" s="210"/>
      <c r="F13" s="210"/>
      <c r="G13" s="15"/>
      <c r="H13" s="93">
        <v>0</v>
      </c>
      <c r="I13" s="95"/>
      <c r="J13" s="94">
        <f>H13+I13</f>
        <v>0</v>
      </c>
    </row>
    <row r="14" spans="1:10" ht="15.75" customHeight="1">
      <c r="A14" s="23"/>
      <c r="B14" s="163" t="s">
        <v>150</v>
      </c>
      <c r="C14" s="163"/>
      <c r="D14" s="163"/>
      <c r="E14" s="163"/>
      <c r="F14" s="163"/>
      <c r="G14" s="15"/>
      <c r="H14" s="96">
        <f>SUM(H10:H13)</f>
        <v>405807.64</v>
      </c>
      <c r="I14" s="96">
        <f>SUM(I10:I13)</f>
        <v>0</v>
      </c>
      <c r="J14" s="96">
        <f>SUM(J10:J13)</f>
        <v>405807.64</v>
      </c>
    </row>
    <row r="15" spans="1:10" ht="18.75" customHeight="1">
      <c r="A15" s="23">
        <v>2</v>
      </c>
      <c r="B15" s="174" t="s">
        <v>66</v>
      </c>
      <c r="C15" s="174"/>
      <c r="D15" s="174"/>
      <c r="E15" s="174"/>
      <c r="F15" s="174"/>
      <c r="G15" s="15"/>
      <c r="H15" s="93"/>
      <c r="I15" s="75"/>
      <c r="J15" s="35"/>
    </row>
    <row r="16" spans="1:10" ht="15.75">
      <c r="A16" s="23" t="s">
        <v>151</v>
      </c>
      <c r="B16" s="19" t="s">
        <v>67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09" t="s">
        <v>208</v>
      </c>
      <c r="C17" s="209"/>
      <c r="D17" s="209"/>
      <c r="E17" s="98" t="s">
        <v>33</v>
      </c>
      <c r="F17" s="80" t="s">
        <v>25</v>
      </c>
      <c r="G17" s="81">
        <v>1.22</v>
      </c>
      <c r="H17" s="99">
        <f>ROUND(G17*$E$3*12,2)</f>
        <v>34958.86</v>
      </c>
      <c r="I17" s="100">
        <f>$I$12*0.08</f>
        <v>0</v>
      </c>
      <c r="J17" s="101">
        <f>SUM(H17:I17)</f>
        <v>34958.86</v>
      </c>
    </row>
    <row r="18" spans="1:10" ht="36" customHeight="1">
      <c r="A18" s="23"/>
      <c r="B18" s="207" t="s">
        <v>18</v>
      </c>
      <c r="C18" s="207"/>
      <c r="D18" s="207"/>
      <c r="E18" s="98" t="s">
        <v>33</v>
      </c>
      <c r="F18" s="80" t="s">
        <v>20</v>
      </c>
      <c r="G18" s="81">
        <v>0.28</v>
      </c>
      <c r="H18" s="99">
        <f>ROUND(G18*$E$3*12,2)</f>
        <v>8023.34</v>
      </c>
      <c r="I18" s="100">
        <f>$I$12*0.02</f>
        <v>0</v>
      </c>
      <c r="J18" s="101">
        <f>SUM(H18:I18)</f>
        <v>8023.34</v>
      </c>
    </row>
    <row r="19" spans="1:10" ht="20.25" customHeight="1">
      <c r="A19" s="23"/>
      <c r="B19" s="202" t="s">
        <v>24</v>
      </c>
      <c r="C19" s="202"/>
      <c r="D19" s="202"/>
      <c r="E19" s="102" t="s">
        <v>152</v>
      </c>
      <c r="F19" s="83" t="s">
        <v>21</v>
      </c>
      <c r="G19" s="81">
        <v>0.99</v>
      </c>
      <c r="H19" s="99">
        <f>J19-I19</f>
        <v>14462.58</v>
      </c>
      <c r="I19" s="100">
        <f>$I$12*0.07</f>
        <v>0</v>
      </c>
      <c r="J19" s="103">
        <v>14462.58</v>
      </c>
    </row>
    <row r="20" spans="1:10" ht="20.25" customHeight="1">
      <c r="A20" s="26"/>
      <c r="B20" s="209" t="s">
        <v>32</v>
      </c>
      <c r="C20" s="209"/>
      <c r="D20" s="209"/>
      <c r="E20" s="104" t="s">
        <v>9</v>
      </c>
      <c r="F20" s="84" t="s">
        <v>10</v>
      </c>
      <c r="G20" s="81">
        <v>0.51</v>
      </c>
      <c r="H20" s="99">
        <f>ROUND(G20*$E$3*12,2)</f>
        <v>14613.95</v>
      </c>
      <c r="I20" s="100">
        <f>$I$12*0.04</f>
        <v>0</v>
      </c>
      <c r="J20" s="101">
        <f>SUM(H20:I20)</f>
        <v>14613.95</v>
      </c>
    </row>
    <row r="21" spans="1:10" ht="65.25" customHeight="1">
      <c r="A21" s="23"/>
      <c r="B21" s="202" t="s">
        <v>28</v>
      </c>
      <c r="C21" s="202"/>
      <c r="D21" s="202"/>
      <c r="E21" s="102" t="s">
        <v>153</v>
      </c>
      <c r="F21" s="83" t="s">
        <v>26</v>
      </c>
      <c r="G21" s="81">
        <v>0.12</v>
      </c>
      <c r="H21" s="99">
        <f>J21-I21</f>
        <v>1338.91</v>
      </c>
      <c r="I21" s="100">
        <f>$I$12*0.01</f>
        <v>0</v>
      </c>
      <c r="J21" s="103">
        <v>1338.91</v>
      </c>
    </row>
    <row r="22" spans="1:10" ht="20.25" customHeight="1">
      <c r="A22" s="26"/>
      <c r="B22" s="202" t="s">
        <v>11</v>
      </c>
      <c r="C22" s="202"/>
      <c r="D22" s="202"/>
      <c r="E22" s="102" t="s">
        <v>9</v>
      </c>
      <c r="F22" s="83" t="s">
        <v>12</v>
      </c>
      <c r="G22" s="81">
        <v>2.22</v>
      </c>
      <c r="H22" s="99">
        <f>J22-I22</f>
        <v>63613.65600000001</v>
      </c>
      <c r="I22" s="100">
        <f>$I$12*0.15</f>
        <v>0</v>
      </c>
      <c r="J22" s="103">
        <f>G22*E3*12</f>
        <v>63613.65600000001</v>
      </c>
    </row>
    <row r="23" spans="1:10" ht="31.5" customHeight="1">
      <c r="A23" s="26"/>
      <c r="B23" s="202" t="s">
        <v>27</v>
      </c>
      <c r="C23" s="203"/>
      <c r="D23" s="203"/>
      <c r="E23" s="105" t="s">
        <v>13</v>
      </c>
      <c r="F23" s="77" t="s">
        <v>14</v>
      </c>
      <c r="G23" s="81">
        <v>0.05</v>
      </c>
      <c r="H23" s="99">
        <f>J23-I23</f>
        <v>1962.6</v>
      </c>
      <c r="I23" s="100">
        <f>$I$12*0.003</f>
        <v>0</v>
      </c>
      <c r="J23" s="103">
        <v>1962.6</v>
      </c>
    </row>
    <row r="24" spans="1:10" ht="28.5" customHeight="1">
      <c r="A24" s="23"/>
      <c r="B24" s="202" t="s">
        <v>72</v>
      </c>
      <c r="C24" s="202"/>
      <c r="D24" s="202"/>
      <c r="E24" s="98" t="s">
        <v>36</v>
      </c>
      <c r="F24" s="46" t="s">
        <v>83</v>
      </c>
      <c r="G24" s="81">
        <v>2.15</v>
      </c>
      <c r="H24" s="99">
        <f aca="true" t="shared" si="0" ref="H24:H29">ROUND(G24*$E$3*12,2)</f>
        <v>61607.82</v>
      </c>
      <c r="I24" s="100">
        <f>$I$12*0.19</f>
        <v>0</v>
      </c>
      <c r="J24" s="101">
        <f aca="true" t="shared" si="1" ref="J24:J29">SUM(H24:I24)</f>
        <v>61607.82</v>
      </c>
    </row>
    <row r="25" spans="1:10" ht="26.25" customHeight="1">
      <c r="A25" s="23"/>
      <c r="B25" s="207" t="s">
        <v>15</v>
      </c>
      <c r="C25" s="207"/>
      <c r="D25" s="207"/>
      <c r="E25" s="98" t="s">
        <v>36</v>
      </c>
      <c r="F25" s="46" t="s">
        <v>83</v>
      </c>
      <c r="G25" s="81">
        <v>0.53</v>
      </c>
      <c r="H25" s="106">
        <f t="shared" si="0"/>
        <v>15187.04</v>
      </c>
      <c r="I25" s="100">
        <v>0</v>
      </c>
      <c r="J25" s="101">
        <f t="shared" si="1"/>
        <v>15187.04</v>
      </c>
    </row>
    <row r="26" spans="1:10" ht="30" customHeight="1">
      <c r="A26" s="23"/>
      <c r="B26" s="208" t="s">
        <v>37</v>
      </c>
      <c r="C26" s="197"/>
      <c r="D26" s="198"/>
      <c r="E26" s="98" t="s">
        <v>36</v>
      </c>
      <c r="F26" s="46" t="s">
        <v>83</v>
      </c>
      <c r="G26" s="48">
        <f>3.52-G27-G28</f>
        <v>3.23</v>
      </c>
      <c r="H26" s="106">
        <f t="shared" si="0"/>
        <v>92555</v>
      </c>
      <c r="I26" s="107">
        <f>$I$12*0.18</f>
        <v>0</v>
      </c>
      <c r="J26" s="101">
        <f t="shared" si="1"/>
        <v>92555</v>
      </c>
    </row>
    <row r="27" spans="1:10" ht="26.25" customHeight="1">
      <c r="A27" s="26"/>
      <c r="B27" s="202" t="s">
        <v>154</v>
      </c>
      <c r="C27" s="202"/>
      <c r="D27" s="202"/>
      <c r="E27" s="98" t="s">
        <v>36</v>
      </c>
      <c r="F27" s="46" t="s">
        <v>83</v>
      </c>
      <c r="G27" s="48">
        <v>0</v>
      </c>
      <c r="H27" s="106">
        <f t="shared" si="0"/>
        <v>0</v>
      </c>
      <c r="I27" s="107">
        <f>$I$12*0.02</f>
        <v>0</v>
      </c>
      <c r="J27" s="101">
        <f t="shared" si="1"/>
        <v>0</v>
      </c>
    </row>
    <row r="28" spans="1:10" ht="28.5" customHeight="1">
      <c r="A28" s="23"/>
      <c r="B28" s="202" t="s">
        <v>155</v>
      </c>
      <c r="C28" s="202"/>
      <c r="D28" s="202"/>
      <c r="E28" s="102" t="s">
        <v>9</v>
      </c>
      <c r="F28" s="46" t="s">
        <v>83</v>
      </c>
      <c r="G28" s="48">
        <v>0.29</v>
      </c>
      <c r="H28" s="106">
        <f t="shared" si="0"/>
        <v>8309.89</v>
      </c>
      <c r="I28" s="107">
        <v>0</v>
      </c>
      <c r="J28" s="101">
        <f t="shared" si="1"/>
        <v>8309.89</v>
      </c>
    </row>
    <row r="29" spans="1:10" ht="27" customHeight="1">
      <c r="A29" s="23"/>
      <c r="B29" s="203" t="s">
        <v>22</v>
      </c>
      <c r="C29" s="203"/>
      <c r="D29" s="203"/>
      <c r="E29" s="129" t="s">
        <v>36</v>
      </c>
      <c r="F29" s="46" t="s">
        <v>83</v>
      </c>
      <c r="G29" s="77">
        <v>1.45</v>
      </c>
      <c r="H29" s="99">
        <f t="shared" si="0"/>
        <v>41549.46</v>
      </c>
      <c r="I29" s="100">
        <f>$I$12*0.1</f>
        <v>0</v>
      </c>
      <c r="J29" s="101">
        <f t="shared" si="1"/>
        <v>41549.46</v>
      </c>
    </row>
    <row r="30" spans="1:10" ht="15.75">
      <c r="A30" s="23"/>
      <c r="B30" s="196"/>
      <c r="C30" s="197"/>
      <c r="D30" s="198"/>
      <c r="E30" s="102"/>
      <c r="F30" s="46"/>
      <c r="G30" s="77"/>
      <c r="H30" s="106"/>
      <c r="I30" s="95"/>
      <c r="J30" s="108"/>
    </row>
    <row r="31" spans="1:10" ht="15.75">
      <c r="A31" s="23"/>
      <c r="B31" s="196"/>
      <c r="C31" s="197"/>
      <c r="D31" s="198"/>
      <c r="E31" s="102"/>
      <c r="F31" s="46"/>
      <c r="G31" s="77"/>
      <c r="H31" s="106"/>
      <c r="I31" s="95"/>
      <c r="J31" s="108"/>
    </row>
    <row r="32" spans="1:10" ht="15.75">
      <c r="A32" s="23"/>
      <c r="B32" s="180" t="s">
        <v>31</v>
      </c>
      <c r="C32" s="180"/>
      <c r="D32" s="180"/>
      <c r="E32" s="14"/>
      <c r="F32" s="46"/>
      <c r="G32" s="21">
        <f>SUM(G17:G29)</f>
        <v>13.039999999999997</v>
      </c>
      <c r="H32" s="40">
        <f>SUM(H17:H31)</f>
        <v>358183.1060000001</v>
      </c>
      <c r="I32" s="109">
        <f>SUM(I17:I31)</f>
        <v>0</v>
      </c>
      <c r="J32" s="40">
        <f>SUM(J17:J31)</f>
        <v>358183.1060000001</v>
      </c>
    </row>
    <row r="33" spans="1:10" ht="15.75">
      <c r="A33" s="23"/>
      <c r="B33" s="204" t="s">
        <v>156</v>
      </c>
      <c r="C33" s="205"/>
      <c r="D33" s="206"/>
      <c r="E33" s="102" t="s">
        <v>9</v>
      </c>
      <c r="F33" s="46"/>
      <c r="G33" s="77"/>
      <c r="H33" s="106"/>
      <c r="I33" s="95"/>
      <c r="J33" s="108"/>
    </row>
    <row r="34" spans="1:10" ht="25.5">
      <c r="A34" s="23"/>
      <c r="B34" s="204" t="s">
        <v>157</v>
      </c>
      <c r="C34" s="205"/>
      <c r="D34" s="206"/>
      <c r="E34" s="98" t="s">
        <v>36</v>
      </c>
      <c r="F34" s="46"/>
      <c r="G34" s="77"/>
      <c r="H34" s="106"/>
      <c r="I34" s="95"/>
      <c r="J34" s="108"/>
    </row>
    <row r="35" spans="1:10" ht="15.75">
      <c r="A35" s="23"/>
      <c r="B35" s="196"/>
      <c r="C35" s="197"/>
      <c r="D35" s="198"/>
      <c r="E35" s="102"/>
      <c r="F35" s="46"/>
      <c r="G35" s="77"/>
      <c r="H35" s="106"/>
      <c r="I35" s="95"/>
      <c r="J35" s="108"/>
    </row>
    <row r="36" spans="1:10" ht="15" customHeight="1">
      <c r="A36" s="23" t="s">
        <v>158</v>
      </c>
      <c r="B36" s="199" t="s">
        <v>159</v>
      </c>
      <c r="C36" s="200"/>
      <c r="D36" s="200"/>
      <c r="E36" s="201"/>
      <c r="F36" s="46" t="s">
        <v>83</v>
      </c>
      <c r="G36" s="24">
        <f>H36/E3/12</f>
        <v>5.656539218560241</v>
      </c>
      <c r="H36" s="28">
        <v>162087</v>
      </c>
      <c r="I36" s="110">
        <v>0</v>
      </c>
      <c r="J36" s="96">
        <f>SUM(H36:I36)</f>
        <v>162087</v>
      </c>
    </row>
    <row r="37" spans="1:10" ht="14.25" customHeight="1">
      <c r="A37" s="25"/>
      <c r="B37" s="191" t="s">
        <v>70</v>
      </c>
      <c r="C37" s="191"/>
      <c r="D37" s="191"/>
      <c r="E37" s="191"/>
      <c r="F37" s="191"/>
      <c r="G37" s="5">
        <f>SUM(G32:G36)</f>
        <v>18.69653921856024</v>
      </c>
      <c r="H37" s="41">
        <f>SUM(H32:H36)</f>
        <v>520270.1060000001</v>
      </c>
      <c r="I37" s="111">
        <f>SUM(I32:I36)</f>
        <v>0</v>
      </c>
      <c r="J37" s="41">
        <f>SUM(J32:J36)</f>
        <v>520270.1060000001</v>
      </c>
    </row>
    <row r="38" spans="1:10" ht="15.75">
      <c r="A38" s="23" t="s">
        <v>160</v>
      </c>
      <c r="B38" s="192" t="s">
        <v>161</v>
      </c>
      <c r="C38" s="192"/>
      <c r="D38" s="192"/>
      <c r="E38" s="192"/>
      <c r="F38" s="192"/>
      <c r="G38" s="112"/>
      <c r="H38" s="113">
        <v>0</v>
      </c>
      <c r="I38" s="113">
        <v>0</v>
      </c>
      <c r="J38" s="114">
        <f>SUM(H38:I38)</f>
        <v>0</v>
      </c>
    </row>
    <row r="39" spans="1:10" ht="15" customHeight="1">
      <c r="A39" s="25"/>
      <c r="B39" s="191" t="s">
        <v>162</v>
      </c>
      <c r="C39" s="191"/>
      <c r="D39" s="191"/>
      <c r="E39" s="191"/>
      <c r="F39" s="191"/>
      <c r="G39" s="5">
        <f>SUM(G37:G38)</f>
        <v>18.69653921856024</v>
      </c>
      <c r="H39" s="41">
        <f>SUM(H37:H38)</f>
        <v>520270.1060000001</v>
      </c>
      <c r="I39" s="111">
        <f>SUM(I37:I38)</f>
        <v>0</v>
      </c>
      <c r="J39" s="41">
        <f>SUM(J37:J38)</f>
        <v>520270.1060000001</v>
      </c>
    </row>
    <row r="40" spans="1:10" ht="15.75" customHeight="1">
      <c r="A40" s="23">
        <v>3</v>
      </c>
      <c r="B40" s="193" t="s">
        <v>209</v>
      </c>
      <c r="C40" s="194"/>
      <c r="D40" s="194"/>
      <c r="E40" s="194"/>
      <c r="F40" s="194"/>
      <c r="G40" s="195"/>
      <c r="H40" s="115">
        <f>H14-H39</f>
        <v>-114462.46600000007</v>
      </c>
      <c r="I40" s="99">
        <f>I14-I39</f>
        <v>0</v>
      </c>
      <c r="J40" s="116">
        <f>J14-J39</f>
        <v>-114462.46600000007</v>
      </c>
    </row>
    <row r="41" spans="2:6" ht="15.75">
      <c r="B41" s="34"/>
      <c r="F41" s="34"/>
    </row>
    <row r="42" spans="2:6" ht="15.75">
      <c r="B42" s="43" t="s">
        <v>79</v>
      </c>
      <c r="C42" s="43"/>
      <c r="D42" s="43"/>
      <c r="E42" s="34"/>
      <c r="F42" s="34"/>
    </row>
    <row r="43" spans="2:4" ht="15.75">
      <c r="B43" s="43"/>
      <c r="C43" s="43"/>
      <c r="D43" s="43"/>
    </row>
    <row r="44" spans="2:4" ht="15.75">
      <c r="B44" s="34" t="s">
        <v>210</v>
      </c>
      <c r="C44" s="47"/>
      <c r="D44" s="44"/>
    </row>
    <row r="45" spans="2:4" ht="15.75">
      <c r="B45" s="172" t="s">
        <v>87</v>
      </c>
      <c r="C45" s="172"/>
      <c r="D45" s="172"/>
    </row>
  </sheetData>
  <sheetProtection/>
  <mergeCells count="37">
    <mergeCell ref="A1:J1"/>
    <mergeCell ref="A2:J2"/>
    <mergeCell ref="B7:D7"/>
    <mergeCell ref="H7:J7"/>
    <mergeCell ref="B14:F14"/>
    <mergeCell ref="B15:F15"/>
    <mergeCell ref="B8:F8"/>
    <mergeCell ref="B9:F9"/>
    <mergeCell ref="B10:F10"/>
    <mergeCell ref="B11:F11"/>
    <mergeCell ref="B12:F12"/>
    <mergeCell ref="B13:F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6:E36"/>
    <mergeCell ref="B37:F37"/>
    <mergeCell ref="B33:D33"/>
    <mergeCell ref="B35:D35"/>
    <mergeCell ref="B34:D34"/>
    <mergeCell ref="B38:F38"/>
    <mergeCell ref="B39:F39"/>
    <mergeCell ref="B40:G40"/>
    <mergeCell ref="B45:D45"/>
  </mergeCells>
  <printOptions/>
  <pageMargins left="0.3937007874015748" right="0" top="0" bottom="0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34"/>
  <sheetViews>
    <sheetView zoomScalePageLayoutView="0" workbookViewId="0" topLeftCell="A19">
      <selection activeCell="A19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7.37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167" t="s">
        <v>215</v>
      </c>
      <c r="B1" s="167"/>
      <c r="C1" s="167"/>
      <c r="D1" s="167"/>
      <c r="E1" s="167"/>
      <c r="F1" s="167"/>
      <c r="G1" s="167"/>
      <c r="H1" s="167"/>
    </row>
    <row r="2" spans="1:6" ht="18.75">
      <c r="A2" s="1" t="s">
        <v>78</v>
      </c>
      <c r="B2" s="1" t="s">
        <v>85</v>
      </c>
      <c r="C2" s="2"/>
      <c r="D2" s="2" t="s">
        <v>0</v>
      </c>
      <c r="E2" s="4">
        <v>2387.9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43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17</v>
      </c>
      <c r="F5" s="2"/>
      <c r="G5" s="2"/>
    </row>
    <row r="6" spans="1:8" ht="42" customHeight="1">
      <c r="A6" s="118" t="s">
        <v>61</v>
      </c>
      <c r="B6" s="222" t="s">
        <v>140</v>
      </c>
      <c r="C6" s="223"/>
      <c r="D6" s="224"/>
      <c r="E6" s="73" t="s">
        <v>6</v>
      </c>
      <c r="F6" s="73" t="s">
        <v>7</v>
      </c>
      <c r="G6" s="119" t="s">
        <v>193</v>
      </c>
      <c r="H6" s="120" t="s">
        <v>132</v>
      </c>
    </row>
    <row r="7" spans="1:8" ht="15.75" customHeight="1">
      <c r="A7" s="74">
        <v>1</v>
      </c>
      <c r="B7" s="225" t="s">
        <v>133</v>
      </c>
      <c r="C7" s="225"/>
      <c r="D7" s="225"/>
      <c r="E7" s="225"/>
      <c r="F7" s="225"/>
      <c r="G7" s="75"/>
      <c r="H7" s="76"/>
    </row>
    <row r="8" spans="1:8" ht="15.75" customHeight="1">
      <c r="A8" s="74"/>
      <c r="B8" s="163" t="s">
        <v>194</v>
      </c>
      <c r="C8" s="163"/>
      <c r="D8" s="163"/>
      <c r="E8" s="163"/>
      <c r="F8" s="163"/>
      <c r="G8" s="24">
        <f>G31</f>
        <v>14.920000000000002</v>
      </c>
      <c r="H8" s="76">
        <f>ROUND($E$2*G8*12,0)</f>
        <v>427530</v>
      </c>
    </row>
    <row r="9" spans="1:8" ht="15.75" customHeight="1">
      <c r="A9" s="74"/>
      <c r="B9" s="227" t="s">
        <v>134</v>
      </c>
      <c r="C9" s="227"/>
      <c r="D9" s="227"/>
      <c r="E9" s="227"/>
      <c r="F9" s="227"/>
      <c r="G9" s="23">
        <v>0.78</v>
      </c>
      <c r="H9" s="76">
        <f>ROUND($E$2*G9*12,0)</f>
        <v>22351</v>
      </c>
    </row>
    <row r="10" spans="1:8" ht="15.75" customHeight="1">
      <c r="A10" s="74">
        <v>2</v>
      </c>
      <c r="B10" s="174" t="s">
        <v>66</v>
      </c>
      <c r="C10" s="174"/>
      <c r="D10" s="174"/>
      <c r="E10" s="174"/>
      <c r="F10" s="174"/>
      <c r="G10" s="77"/>
      <c r="H10" s="76"/>
    </row>
    <row r="11" spans="1:8" ht="18.75" customHeight="1">
      <c r="A11" s="74" t="s">
        <v>151</v>
      </c>
      <c r="B11" s="19" t="s">
        <v>67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36" t="s">
        <v>208</v>
      </c>
      <c r="C12" s="226"/>
      <c r="D12" s="226"/>
      <c r="E12" s="98" t="s">
        <v>33</v>
      </c>
      <c r="F12" s="80" t="s">
        <v>25</v>
      </c>
      <c r="G12" s="81">
        <v>1.26</v>
      </c>
      <c r="H12" s="82">
        <f aca="true" t="shared" si="0" ref="H12:H31">ROUND($E$2*G12*12,0)</f>
        <v>36105</v>
      </c>
    </row>
    <row r="13" spans="1:9" ht="15.75" customHeight="1">
      <c r="A13" s="79"/>
      <c r="B13" s="226" t="s">
        <v>18</v>
      </c>
      <c r="C13" s="226"/>
      <c r="D13" s="226"/>
      <c r="E13" s="98" t="s">
        <v>33</v>
      </c>
      <c r="F13" s="80" t="s">
        <v>20</v>
      </c>
      <c r="G13" s="81">
        <v>0.29</v>
      </c>
      <c r="H13" s="82">
        <f t="shared" si="0"/>
        <v>8310</v>
      </c>
      <c r="I13" s="31"/>
    </row>
    <row r="14" spans="1:8" ht="18.75" customHeight="1">
      <c r="A14" s="79"/>
      <c r="B14" s="228" t="s">
        <v>24</v>
      </c>
      <c r="C14" s="228"/>
      <c r="D14" s="228"/>
      <c r="E14" s="102" t="s">
        <v>152</v>
      </c>
      <c r="F14" s="83" t="s">
        <v>21</v>
      </c>
      <c r="G14" s="81">
        <v>1.02</v>
      </c>
      <c r="H14" s="82">
        <f t="shared" si="0"/>
        <v>29228</v>
      </c>
    </row>
    <row r="15" spans="1:8" ht="15.75" customHeight="1">
      <c r="A15" s="79"/>
      <c r="B15" s="230" t="s">
        <v>32</v>
      </c>
      <c r="C15" s="230"/>
      <c r="D15" s="230"/>
      <c r="E15" s="104" t="s">
        <v>9</v>
      </c>
      <c r="F15" s="84" t="s">
        <v>10</v>
      </c>
      <c r="G15" s="81">
        <v>0.53</v>
      </c>
      <c r="H15" s="82">
        <f t="shared" si="0"/>
        <v>15187</v>
      </c>
    </row>
    <row r="16" spans="1:8" ht="31.5" customHeight="1">
      <c r="A16" s="79"/>
      <c r="B16" s="228" t="s">
        <v>28</v>
      </c>
      <c r="C16" s="228"/>
      <c r="D16" s="228"/>
      <c r="E16" s="102" t="s">
        <v>153</v>
      </c>
      <c r="F16" s="83" t="s">
        <v>26</v>
      </c>
      <c r="G16" s="81">
        <v>0.12</v>
      </c>
      <c r="H16" s="82">
        <f t="shared" si="0"/>
        <v>3439</v>
      </c>
    </row>
    <row r="17" spans="1:8" ht="15.75" customHeight="1">
      <c r="A17" s="79"/>
      <c r="B17" s="228" t="s">
        <v>11</v>
      </c>
      <c r="C17" s="228"/>
      <c r="D17" s="228"/>
      <c r="E17" s="102" t="s">
        <v>9</v>
      </c>
      <c r="F17" s="83" t="s">
        <v>12</v>
      </c>
      <c r="G17" s="81">
        <v>2.29</v>
      </c>
      <c r="H17" s="82">
        <f t="shared" si="0"/>
        <v>65619</v>
      </c>
    </row>
    <row r="18" spans="1:8" ht="15.75" customHeight="1">
      <c r="A18" s="79"/>
      <c r="B18" s="228" t="s">
        <v>27</v>
      </c>
      <c r="C18" s="229"/>
      <c r="D18" s="229"/>
      <c r="E18" s="105" t="s">
        <v>13</v>
      </c>
      <c r="F18" s="77" t="s">
        <v>135</v>
      </c>
      <c r="G18" s="81">
        <v>0.05</v>
      </c>
      <c r="H18" s="82">
        <f t="shared" si="0"/>
        <v>1433</v>
      </c>
    </row>
    <row r="19" spans="1:8" ht="33" customHeight="1">
      <c r="A19" s="79"/>
      <c r="B19" s="228" t="s">
        <v>72</v>
      </c>
      <c r="C19" s="228"/>
      <c r="D19" s="228"/>
      <c r="E19" s="98" t="s">
        <v>36</v>
      </c>
      <c r="F19" s="83" t="s">
        <v>83</v>
      </c>
      <c r="G19" s="81">
        <v>2.21</v>
      </c>
      <c r="H19" s="82">
        <f t="shared" si="0"/>
        <v>63327</v>
      </c>
    </row>
    <row r="20" spans="1:8" ht="51">
      <c r="A20" s="79"/>
      <c r="B20" s="226" t="s">
        <v>15</v>
      </c>
      <c r="C20" s="226"/>
      <c r="D20" s="226"/>
      <c r="E20" s="98" t="s">
        <v>136</v>
      </c>
      <c r="F20" s="83" t="s">
        <v>83</v>
      </c>
      <c r="G20" s="81">
        <v>0.55</v>
      </c>
      <c r="H20" s="82">
        <f t="shared" si="0"/>
        <v>15760</v>
      </c>
    </row>
    <row r="21" spans="1:8" ht="25.5">
      <c r="A21" s="79"/>
      <c r="B21" s="228" t="s">
        <v>37</v>
      </c>
      <c r="C21" s="229"/>
      <c r="D21" s="229"/>
      <c r="E21" s="98" t="s">
        <v>36</v>
      </c>
      <c r="F21" s="83" t="s">
        <v>83</v>
      </c>
      <c r="G21" s="81">
        <f>3.62-G22-G23</f>
        <v>3.3200000000000003</v>
      </c>
      <c r="H21" s="82">
        <f t="shared" si="0"/>
        <v>95134</v>
      </c>
    </row>
    <row r="22" spans="1:8" ht="15.75" customHeight="1">
      <c r="A22" s="79"/>
      <c r="B22" s="228" t="s">
        <v>195</v>
      </c>
      <c r="C22" s="228"/>
      <c r="D22" s="228"/>
      <c r="E22" s="102" t="s">
        <v>9</v>
      </c>
      <c r="F22" s="83" t="s">
        <v>83</v>
      </c>
      <c r="G22" s="81">
        <v>0</v>
      </c>
      <c r="H22" s="82">
        <f t="shared" si="0"/>
        <v>0</v>
      </c>
    </row>
    <row r="23" spans="1:8" ht="36.75" customHeight="1">
      <c r="A23" s="79"/>
      <c r="B23" s="228" t="s">
        <v>155</v>
      </c>
      <c r="C23" s="228"/>
      <c r="D23" s="228"/>
      <c r="E23" s="102" t="s">
        <v>9</v>
      </c>
      <c r="F23" s="83" t="s">
        <v>83</v>
      </c>
      <c r="G23" s="81">
        <v>0.3</v>
      </c>
      <c r="H23" s="82">
        <f t="shared" si="0"/>
        <v>8596</v>
      </c>
    </row>
    <row r="24" spans="1:8" ht="25.5">
      <c r="A24" s="79"/>
      <c r="B24" s="229" t="s">
        <v>22</v>
      </c>
      <c r="C24" s="229"/>
      <c r="D24" s="229"/>
      <c r="E24" s="98" t="s">
        <v>36</v>
      </c>
      <c r="F24" s="83" t="s">
        <v>83</v>
      </c>
      <c r="G24" s="81">
        <v>1.49</v>
      </c>
      <c r="H24" s="82">
        <f t="shared" si="0"/>
        <v>42696</v>
      </c>
    </row>
    <row r="25" spans="1:8" ht="15.75">
      <c r="A25" s="23"/>
      <c r="B25" s="204" t="s">
        <v>156</v>
      </c>
      <c r="C25" s="205"/>
      <c r="D25" s="206"/>
      <c r="E25" s="102" t="s">
        <v>9</v>
      </c>
      <c r="F25" s="83"/>
      <c r="G25" s="81"/>
      <c r="H25" s="82"/>
    </row>
    <row r="26" spans="1:8" ht="31.5" customHeight="1">
      <c r="A26" s="23"/>
      <c r="B26" s="204" t="s">
        <v>157</v>
      </c>
      <c r="C26" s="205"/>
      <c r="D26" s="206"/>
      <c r="E26" s="98" t="s">
        <v>36</v>
      </c>
      <c r="F26" s="83"/>
      <c r="G26" s="81"/>
      <c r="H26" s="82"/>
    </row>
    <row r="27" spans="1:8" ht="15.75" customHeight="1">
      <c r="A27" s="79"/>
      <c r="B27" s="196"/>
      <c r="C27" s="197"/>
      <c r="D27" s="198"/>
      <c r="E27" s="98"/>
      <c r="F27" s="83"/>
      <c r="G27" s="81"/>
      <c r="H27" s="82"/>
    </row>
    <row r="28" spans="1:8" ht="15.75">
      <c r="A28" s="79"/>
      <c r="B28" s="196"/>
      <c r="C28" s="197"/>
      <c r="D28" s="198"/>
      <c r="E28" s="98"/>
      <c r="F28" s="83"/>
      <c r="G28" s="81"/>
      <c r="H28" s="82"/>
    </row>
    <row r="29" spans="1:8" ht="15.75">
      <c r="A29" s="79"/>
      <c r="B29" s="231" t="s">
        <v>31</v>
      </c>
      <c r="C29" s="232"/>
      <c r="D29" s="233"/>
      <c r="E29" s="14"/>
      <c r="F29" s="83"/>
      <c r="G29" s="21">
        <f>SUM(G12:G28)</f>
        <v>13.430000000000001</v>
      </c>
      <c r="H29" s="82">
        <f t="shared" si="0"/>
        <v>384834</v>
      </c>
    </row>
    <row r="30" spans="1:8" ht="15.75">
      <c r="A30" s="74" t="s">
        <v>158</v>
      </c>
      <c r="B30" s="199" t="s">
        <v>211</v>
      </c>
      <c r="C30" s="200"/>
      <c r="D30" s="200"/>
      <c r="E30" s="201"/>
      <c r="F30" s="51" t="s">
        <v>137</v>
      </c>
      <c r="G30" s="24">
        <v>1.49</v>
      </c>
      <c r="H30" s="82">
        <v>257000</v>
      </c>
    </row>
    <row r="31" spans="1:8" ht="15.75" customHeight="1">
      <c r="A31" s="74"/>
      <c r="B31" s="218" t="s">
        <v>197</v>
      </c>
      <c r="C31" s="218"/>
      <c r="D31" s="218"/>
      <c r="E31" s="218"/>
      <c r="F31" s="218"/>
      <c r="G31" s="21">
        <f>SUM(G29:G30)</f>
        <v>14.920000000000002</v>
      </c>
      <c r="H31" s="121">
        <f t="shared" si="0"/>
        <v>427530</v>
      </c>
    </row>
    <row r="32" spans="1:8" ht="16.5" thickBot="1">
      <c r="A32" s="122">
        <v>3</v>
      </c>
      <c r="B32" s="234" t="s">
        <v>212</v>
      </c>
      <c r="C32" s="220"/>
      <c r="D32" s="221"/>
      <c r="E32" s="123"/>
      <c r="F32" s="124" t="s">
        <v>137</v>
      </c>
      <c r="G32" s="125">
        <v>0.78</v>
      </c>
      <c r="H32" s="126">
        <f>ROUND($E$2*G32*12,0)</f>
        <v>22351</v>
      </c>
    </row>
    <row r="33" spans="1:8" ht="47.25" customHeight="1">
      <c r="A33" s="127"/>
      <c r="B33" s="235" t="s">
        <v>213</v>
      </c>
      <c r="C33" s="235"/>
      <c r="D33" s="235"/>
      <c r="E33" s="235"/>
      <c r="F33" s="128"/>
      <c r="G33" s="86"/>
      <c r="H33" s="127"/>
    </row>
    <row r="34" spans="1:8" ht="29.25" customHeight="1">
      <c r="A34" s="43" t="s">
        <v>79</v>
      </c>
      <c r="B34" s="43"/>
      <c r="C34" s="43"/>
      <c r="D34" s="34"/>
      <c r="G34" s="85"/>
      <c r="H34" s="86"/>
    </row>
  </sheetData>
  <sheetProtection/>
  <mergeCells count="28">
    <mergeCell ref="B16:D16"/>
    <mergeCell ref="B17:D17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28:D28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0:E30"/>
    <mergeCell ref="B31:F31"/>
    <mergeCell ref="B32:D32"/>
    <mergeCell ref="B33:E3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42"/>
  <sheetViews>
    <sheetView workbookViewId="0" topLeftCell="A29">
      <selection activeCell="G19" sqref="G19:G31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25390625" style="0" customWidth="1"/>
    <col min="6" max="6" width="18.00390625" style="0" hidden="1" customWidth="1"/>
    <col min="7" max="7" width="12.75390625" style="0" customWidth="1"/>
    <col min="8" max="8" width="13.00390625" style="0" customWidth="1"/>
    <col min="9" max="9" width="9.875" style="0" bestFit="1" customWidth="1"/>
  </cols>
  <sheetData>
    <row r="1" spans="3:9" ht="69" customHeight="1">
      <c r="C1" s="130" t="s">
        <v>216</v>
      </c>
      <c r="D1" s="237" t="s">
        <v>218</v>
      </c>
      <c r="E1" s="237"/>
      <c r="F1" s="237"/>
      <c r="G1" s="237"/>
      <c r="H1" s="237"/>
      <c r="I1" s="131"/>
    </row>
    <row r="4" spans="1:8" ht="20.25">
      <c r="A4" s="238" t="s">
        <v>217</v>
      </c>
      <c r="B4" s="238"/>
      <c r="C4" s="238"/>
      <c r="D4" s="238"/>
      <c r="E4" s="238"/>
      <c r="F4" s="238"/>
      <c r="G4" s="238"/>
      <c r="H4" s="238"/>
    </row>
    <row r="6" ht="15.75">
      <c r="B6" t="s">
        <v>233</v>
      </c>
    </row>
    <row r="8" spans="1:6" ht="18.75">
      <c r="A8" s="1" t="s">
        <v>78</v>
      </c>
      <c r="B8" s="1" t="s">
        <v>85</v>
      </c>
      <c r="C8" s="2"/>
      <c r="D8" s="2" t="s">
        <v>0</v>
      </c>
      <c r="E8" s="4">
        <v>2478.8</v>
      </c>
      <c r="F8" s="2"/>
    </row>
    <row r="9" spans="2:6" ht="15.75">
      <c r="B9" s="3" t="s">
        <v>1</v>
      </c>
      <c r="C9" s="27">
        <v>9</v>
      </c>
      <c r="D9" s="2" t="s">
        <v>2</v>
      </c>
      <c r="E9" s="4" t="s">
        <v>219</v>
      </c>
      <c r="F9" s="2"/>
    </row>
    <row r="10" spans="2:7" ht="15.75">
      <c r="B10" s="3" t="s">
        <v>3</v>
      </c>
      <c r="C10" s="4">
        <v>1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17</v>
      </c>
      <c r="F11" s="2"/>
      <c r="G11" s="2"/>
    </row>
    <row r="12" spans="1:8" ht="94.5">
      <c r="A12" s="118" t="s">
        <v>61</v>
      </c>
      <c r="B12" s="222" t="s">
        <v>140</v>
      </c>
      <c r="C12" s="223"/>
      <c r="D12" s="224"/>
      <c r="E12" s="73" t="s">
        <v>6</v>
      </c>
      <c r="F12" s="73" t="s">
        <v>7</v>
      </c>
      <c r="G12" s="134" t="s">
        <v>221</v>
      </c>
      <c r="H12" s="135" t="s">
        <v>222</v>
      </c>
    </row>
    <row r="13" spans="1:8" ht="25.5">
      <c r="A13" s="132">
        <v>1</v>
      </c>
      <c r="B13" s="212">
        <v>2</v>
      </c>
      <c r="C13" s="213"/>
      <c r="D13" s="239"/>
      <c r="E13" s="136">
        <v>3</v>
      </c>
      <c r="F13" s="133"/>
      <c r="G13" s="137">
        <v>4</v>
      </c>
      <c r="H13" s="138" t="s">
        <v>223</v>
      </c>
    </row>
    <row r="14" spans="1:8" ht="15.75" customHeight="1" hidden="1">
      <c r="A14" s="74">
        <v>1</v>
      </c>
      <c r="B14" s="225" t="s">
        <v>133</v>
      </c>
      <c r="C14" s="225"/>
      <c r="D14" s="225"/>
      <c r="E14" s="225"/>
      <c r="F14" s="225"/>
      <c r="G14" s="75"/>
      <c r="H14" s="76"/>
    </row>
    <row r="15" spans="1:8" ht="15.75" customHeight="1" hidden="1">
      <c r="A15" s="74"/>
      <c r="B15" s="163" t="s">
        <v>194</v>
      </c>
      <c r="C15" s="163"/>
      <c r="D15" s="163"/>
      <c r="E15" s="163"/>
      <c r="F15" s="163"/>
      <c r="G15" s="24">
        <f>G36</f>
        <v>15.36</v>
      </c>
      <c r="H15" s="76">
        <f>ROUND($E$8*G15*12,0)</f>
        <v>456892</v>
      </c>
    </row>
    <row r="16" spans="1:8" ht="15.75" customHeight="1" hidden="1">
      <c r="A16" s="74"/>
      <c r="B16" s="227" t="s">
        <v>134</v>
      </c>
      <c r="C16" s="227"/>
      <c r="D16" s="227"/>
      <c r="E16" s="227"/>
      <c r="F16" s="227"/>
      <c r="G16" s="23">
        <v>0.78</v>
      </c>
      <c r="H16" s="76">
        <f>ROUND($E$8*G16*12,0)</f>
        <v>23202</v>
      </c>
    </row>
    <row r="17" spans="1:8" ht="15.75" customHeight="1">
      <c r="A17" s="74" t="s">
        <v>95</v>
      </c>
      <c r="B17" s="174" t="s">
        <v>66</v>
      </c>
      <c r="C17" s="174"/>
      <c r="D17" s="174"/>
      <c r="E17" s="174"/>
      <c r="F17" s="174"/>
      <c r="G17" s="77"/>
      <c r="H17" s="76"/>
    </row>
    <row r="18" spans="1:8" ht="18.75" customHeight="1">
      <c r="A18" s="74" t="s">
        <v>220</v>
      </c>
      <c r="B18" s="19" t="s">
        <v>67</v>
      </c>
      <c r="C18" s="19"/>
      <c r="D18" s="19"/>
      <c r="E18" s="19"/>
      <c r="F18" s="5"/>
      <c r="G18" s="78"/>
      <c r="H18" s="76"/>
    </row>
    <row r="19" spans="1:8" ht="31.5" customHeight="1">
      <c r="A19" s="79"/>
      <c r="B19" s="236" t="s">
        <v>208</v>
      </c>
      <c r="C19" s="226"/>
      <c r="D19" s="226"/>
      <c r="E19" s="98" t="s">
        <v>33</v>
      </c>
      <c r="F19" s="80" t="s">
        <v>25</v>
      </c>
      <c r="G19" s="81">
        <v>1.29</v>
      </c>
      <c r="H19" s="82">
        <f>ROUND($E$8*G19*4,0)</f>
        <v>12791</v>
      </c>
    </row>
    <row r="20" spans="1:9" ht="15.75" customHeight="1">
      <c r="A20" s="79"/>
      <c r="B20" s="226" t="s">
        <v>18</v>
      </c>
      <c r="C20" s="226"/>
      <c r="D20" s="226"/>
      <c r="E20" s="98" t="s">
        <v>33</v>
      </c>
      <c r="F20" s="80" t="s">
        <v>20</v>
      </c>
      <c r="G20" s="81">
        <v>0.3</v>
      </c>
      <c r="H20" s="82">
        <f aca="true" t="shared" si="0" ref="H20:H37">ROUND($E$8*G20*4,0)</f>
        <v>2975</v>
      </c>
      <c r="I20" s="31"/>
    </row>
    <row r="21" spans="1:8" ht="18.75" customHeight="1">
      <c r="A21" s="79"/>
      <c r="B21" s="228" t="s">
        <v>24</v>
      </c>
      <c r="C21" s="228"/>
      <c r="D21" s="228"/>
      <c r="E21" s="102" t="s">
        <v>152</v>
      </c>
      <c r="F21" s="83" t="s">
        <v>21</v>
      </c>
      <c r="G21" s="81">
        <v>1.05</v>
      </c>
      <c r="H21" s="82">
        <f t="shared" si="0"/>
        <v>10411</v>
      </c>
    </row>
    <row r="22" spans="1:8" ht="15.75" customHeight="1">
      <c r="A22" s="79"/>
      <c r="B22" s="230" t="s">
        <v>32</v>
      </c>
      <c r="C22" s="230"/>
      <c r="D22" s="230"/>
      <c r="E22" s="104" t="s">
        <v>9</v>
      </c>
      <c r="F22" s="84" t="s">
        <v>10</v>
      </c>
      <c r="G22" s="81">
        <v>0.54</v>
      </c>
      <c r="H22" s="82">
        <f t="shared" si="0"/>
        <v>5354</v>
      </c>
    </row>
    <row r="23" spans="1:8" ht="51">
      <c r="A23" s="79"/>
      <c r="B23" s="228" t="s">
        <v>28</v>
      </c>
      <c r="C23" s="228"/>
      <c r="D23" s="228"/>
      <c r="E23" s="102" t="s">
        <v>153</v>
      </c>
      <c r="F23" s="83" t="s">
        <v>26</v>
      </c>
      <c r="G23" s="81">
        <v>0.13</v>
      </c>
      <c r="H23" s="82">
        <f t="shared" si="0"/>
        <v>1289</v>
      </c>
    </row>
    <row r="24" spans="1:8" ht="15.75" customHeight="1">
      <c r="A24" s="79"/>
      <c r="B24" s="228" t="s">
        <v>11</v>
      </c>
      <c r="C24" s="228"/>
      <c r="D24" s="228"/>
      <c r="E24" s="102" t="s">
        <v>9</v>
      </c>
      <c r="F24" s="83" t="s">
        <v>12</v>
      </c>
      <c r="G24" s="81">
        <v>2.35</v>
      </c>
      <c r="H24" s="82">
        <f t="shared" si="0"/>
        <v>23301</v>
      </c>
    </row>
    <row r="25" spans="1:8" ht="15.75" customHeight="1">
      <c r="A25" s="79"/>
      <c r="B25" s="228" t="s">
        <v>27</v>
      </c>
      <c r="C25" s="229"/>
      <c r="D25" s="229"/>
      <c r="E25" s="105" t="s">
        <v>13</v>
      </c>
      <c r="F25" s="77" t="s">
        <v>135</v>
      </c>
      <c r="G25" s="81">
        <v>0.05</v>
      </c>
      <c r="H25" s="82">
        <f t="shared" si="0"/>
        <v>496</v>
      </c>
    </row>
    <row r="26" spans="1:8" ht="51">
      <c r="A26" s="79"/>
      <c r="B26" s="228" t="s">
        <v>72</v>
      </c>
      <c r="C26" s="228"/>
      <c r="D26" s="228"/>
      <c r="E26" s="98" t="s">
        <v>232</v>
      </c>
      <c r="F26" s="83" t="s">
        <v>83</v>
      </c>
      <c r="G26" s="81">
        <v>1.63</v>
      </c>
      <c r="H26" s="82">
        <f t="shared" si="0"/>
        <v>16162</v>
      </c>
    </row>
    <row r="27" spans="1:8" ht="51">
      <c r="A27" s="79"/>
      <c r="B27" s="226" t="s">
        <v>15</v>
      </c>
      <c r="C27" s="226"/>
      <c r="D27" s="226"/>
      <c r="E27" s="98" t="s">
        <v>136</v>
      </c>
      <c r="F27" s="83" t="s">
        <v>83</v>
      </c>
      <c r="G27" s="81">
        <v>0.56</v>
      </c>
      <c r="H27" s="82">
        <f t="shared" si="0"/>
        <v>5553</v>
      </c>
    </row>
    <row r="28" spans="1:8" ht="28.5" customHeight="1">
      <c r="A28" s="79"/>
      <c r="B28" s="228" t="s">
        <v>37</v>
      </c>
      <c r="C28" s="229"/>
      <c r="D28" s="229"/>
      <c r="E28" s="98" t="s">
        <v>36</v>
      </c>
      <c r="F28" s="83" t="s">
        <v>83</v>
      </c>
      <c r="G28" s="81">
        <f>4.38-G29-G30</f>
        <v>4.07</v>
      </c>
      <c r="H28" s="82">
        <f t="shared" si="0"/>
        <v>40355</v>
      </c>
    </row>
    <row r="29" spans="1:8" ht="15.75" customHeight="1">
      <c r="A29" s="79"/>
      <c r="B29" s="228" t="s">
        <v>195</v>
      </c>
      <c r="C29" s="228"/>
      <c r="D29" s="228"/>
      <c r="E29" s="102" t="s">
        <v>9</v>
      </c>
      <c r="F29" s="83" t="s">
        <v>83</v>
      </c>
      <c r="G29" s="140">
        <v>0</v>
      </c>
      <c r="H29" s="82">
        <f t="shared" si="0"/>
        <v>0</v>
      </c>
    </row>
    <row r="30" spans="1:8" ht="15.75">
      <c r="A30" s="79"/>
      <c r="B30" s="228" t="s">
        <v>155</v>
      </c>
      <c r="C30" s="228"/>
      <c r="D30" s="228"/>
      <c r="E30" s="102" t="s">
        <v>9</v>
      </c>
      <c r="F30" s="83" t="s">
        <v>83</v>
      </c>
      <c r="G30" s="81">
        <v>0.31</v>
      </c>
      <c r="H30" s="82">
        <f t="shared" si="0"/>
        <v>3074</v>
      </c>
    </row>
    <row r="31" spans="1:8" ht="25.5">
      <c r="A31" s="79"/>
      <c r="B31" s="229" t="s">
        <v>22</v>
      </c>
      <c r="C31" s="229"/>
      <c r="D31" s="229"/>
      <c r="E31" s="98" t="s">
        <v>36</v>
      </c>
      <c r="F31" s="83" t="s">
        <v>83</v>
      </c>
      <c r="G31" s="81">
        <v>1.54</v>
      </c>
      <c r="H31" s="82">
        <f t="shared" si="0"/>
        <v>15269</v>
      </c>
    </row>
    <row r="32" spans="1:8" ht="15.75" hidden="1">
      <c r="A32" s="23"/>
      <c r="B32" s="204" t="s">
        <v>156</v>
      </c>
      <c r="C32" s="205"/>
      <c r="D32" s="206"/>
      <c r="E32" s="102" t="s">
        <v>9</v>
      </c>
      <c r="F32" s="83"/>
      <c r="G32" s="81"/>
      <c r="H32" s="82">
        <f t="shared" si="0"/>
        <v>0</v>
      </c>
    </row>
    <row r="33" spans="1:8" ht="31.5" customHeight="1" hidden="1">
      <c r="A33" s="23"/>
      <c r="B33" s="204" t="s">
        <v>157</v>
      </c>
      <c r="C33" s="205"/>
      <c r="D33" s="206"/>
      <c r="E33" s="98" t="s">
        <v>36</v>
      </c>
      <c r="F33" s="83"/>
      <c r="G33" s="81"/>
      <c r="H33" s="82">
        <f t="shared" si="0"/>
        <v>0</v>
      </c>
    </row>
    <row r="34" spans="1:8" ht="15.75">
      <c r="A34" s="79"/>
      <c r="B34" s="231" t="s">
        <v>31</v>
      </c>
      <c r="C34" s="232"/>
      <c r="D34" s="233"/>
      <c r="E34" s="14"/>
      <c r="F34" s="83"/>
      <c r="G34" s="21">
        <f>SUM(G19:G33)</f>
        <v>13.82</v>
      </c>
      <c r="H34" s="82">
        <f t="shared" si="0"/>
        <v>137028</v>
      </c>
    </row>
    <row r="35" spans="1:8" ht="15.75" customHeight="1">
      <c r="A35" s="74" t="s">
        <v>230</v>
      </c>
      <c r="B35" s="199" t="s">
        <v>211</v>
      </c>
      <c r="C35" s="200"/>
      <c r="D35" s="200"/>
      <c r="E35" s="102" t="s">
        <v>224</v>
      </c>
      <c r="F35" s="51" t="s">
        <v>137</v>
      </c>
      <c r="G35" s="24">
        <v>1.54</v>
      </c>
      <c r="H35" s="82">
        <f t="shared" si="0"/>
        <v>15269</v>
      </c>
    </row>
    <row r="36" spans="1:8" ht="15.75" customHeight="1">
      <c r="A36" s="74" t="s">
        <v>231</v>
      </c>
      <c r="B36" s="218" t="s">
        <v>197</v>
      </c>
      <c r="C36" s="218"/>
      <c r="D36" s="218"/>
      <c r="E36" s="218"/>
      <c r="F36" s="218"/>
      <c r="G36" s="143">
        <f>SUM(G34:G35)</f>
        <v>15.36</v>
      </c>
      <c r="H36" s="82">
        <f t="shared" si="0"/>
        <v>152297</v>
      </c>
    </row>
    <row r="37" spans="1:8" ht="16.5" thickBot="1">
      <c r="A37" s="122" t="s">
        <v>98</v>
      </c>
      <c r="B37" s="234" t="s">
        <v>212</v>
      </c>
      <c r="C37" s="220"/>
      <c r="D37" s="221"/>
      <c r="E37" s="139" t="s">
        <v>224</v>
      </c>
      <c r="F37" s="124" t="s">
        <v>137</v>
      </c>
      <c r="G37" s="141">
        <v>0.8</v>
      </c>
      <c r="H37" s="142">
        <f t="shared" si="0"/>
        <v>7932</v>
      </c>
    </row>
    <row r="38" spans="1:8" ht="15.75">
      <c r="A38" s="43"/>
      <c r="B38" s="240" t="s">
        <v>225</v>
      </c>
      <c r="C38" s="240"/>
      <c r="D38" s="240"/>
      <c r="E38" s="240"/>
      <c r="G38" s="85"/>
      <c r="H38" s="86"/>
    </row>
    <row r="40" spans="2:5" s="34" customFormat="1" ht="17.25" customHeight="1">
      <c r="B40" s="34" t="s">
        <v>226</v>
      </c>
      <c r="E40" s="34" t="s">
        <v>227</v>
      </c>
    </row>
    <row r="41" s="34" customFormat="1" ht="15.75"/>
    <row r="42" spans="2:5" s="34" customFormat="1" ht="15.75">
      <c r="B42" s="34" t="s">
        <v>228</v>
      </c>
      <c r="E42" s="34" t="s">
        <v>229</v>
      </c>
    </row>
  </sheetData>
  <mergeCells count="28">
    <mergeCell ref="B12:D12"/>
    <mergeCell ref="B14:F14"/>
    <mergeCell ref="B15:F15"/>
    <mergeCell ref="B16:F16"/>
    <mergeCell ref="B17:F17"/>
    <mergeCell ref="B19:D19"/>
    <mergeCell ref="B20:D20"/>
    <mergeCell ref="B27:D27"/>
    <mergeCell ref="B28:D28"/>
    <mergeCell ref="B21:D21"/>
    <mergeCell ref="B22:D22"/>
    <mergeCell ref="B23:D23"/>
    <mergeCell ref="B24:D24"/>
    <mergeCell ref="B37:D37"/>
    <mergeCell ref="B38:E38"/>
    <mergeCell ref="B35:D35"/>
    <mergeCell ref="B33:D33"/>
    <mergeCell ref="B34:D34"/>
    <mergeCell ref="D1:H1"/>
    <mergeCell ref="A4:H4"/>
    <mergeCell ref="B13:D13"/>
    <mergeCell ref="B36:F36"/>
    <mergeCell ref="B29:D29"/>
    <mergeCell ref="B30:D30"/>
    <mergeCell ref="B31:D31"/>
    <mergeCell ref="B32:D32"/>
    <mergeCell ref="B25:D25"/>
    <mergeCell ref="B26:D2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47"/>
  <sheetViews>
    <sheetView tabSelected="1" workbookViewId="0" topLeftCell="A1">
      <selection activeCell="A2" sqref="A2:K2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18.00390625" style="0" hidden="1" customWidth="1"/>
    <col min="7" max="7" width="9.375" style="0" hidden="1" customWidth="1"/>
    <col min="8" max="8" width="9.875" style="0" hidden="1" customWidth="1"/>
    <col min="9" max="9" width="12.00390625" style="0" hidden="1" customWidth="1"/>
    <col min="10" max="10" width="13.00390625" style="0" hidden="1" customWidth="1"/>
    <col min="11" max="11" width="18.875" style="0" customWidth="1"/>
    <col min="12" max="13" width="0" style="0" hidden="1" customWidth="1"/>
  </cols>
  <sheetData>
    <row r="1" spans="1:11" ht="126.75" customHeight="1">
      <c r="A1" s="167" t="s">
        <v>234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75" customHeight="1">
      <c r="A2" s="173" t="s">
        <v>235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9" ht="31.5">
      <c r="A3" s="1" t="s">
        <v>78</v>
      </c>
      <c r="B3" s="1" t="s">
        <v>85</v>
      </c>
      <c r="C3" s="2"/>
      <c r="D3" s="145" t="s">
        <v>236</v>
      </c>
      <c r="E3" s="4">
        <v>2478.8</v>
      </c>
      <c r="F3" s="2"/>
      <c r="I3" s="87"/>
    </row>
    <row r="4" spans="2:6" ht="15.75">
      <c r="B4" s="3" t="s">
        <v>1</v>
      </c>
      <c r="C4" s="27">
        <v>9</v>
      </c>
      <c r="D4" s="2" t="s">
        <v>2</v>
      </c>
      <c r="E4" s="4">
        <v>43</v>
      </c>
      <c r="F4" s="2"/>
    </row>
    <row r="5" spans="2:9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17</v>
      </c>
      <c r="F6" s="2"/>
      <c r="G6" s="2"/>
    </row>
    <row r="7" spans="1:13" ht="56.25" customHeight="1">
      <c r="A7" s="22" t="s">
        <v>61</v>
      </c>
      <c r="B7" s="212" t="s">
        <v>140</v>
      </c>
      <c r="C7" s="213"/>
      <c r="D7" s="214"/>
      <c r="E7" s="11" t="s">
        <v>6</v>
      </c>
      <c r="F7" s="11" t="s">
        <v>7</v>
      </c>
      <c r="G7" s="33" t="s">
        <v>237</v>
      </c>
      <c r="H7" s="146" t="s">
        <v>238</v>
      </c>
      <c r="I7" s="215" t="s">
        <v>239</v>
      </c>
      <c r="J7" s="216"/>
      <c r="K7" s="217"/>
      <c r="L7" s="57">
        <v>8</v>
      </c>
      <c r="M7" s="147" t="s">
        <v>240</v>
      </c>
    </row>
    <row r="8" spans="1:11" ht="15.75">
      <c r="A8" s="23">
        <v>1</v>
      </c>
      <c r="B8" s="165"/>
      <c r="C8" s="166"/>
      <c r="D8" s="166"/>
      <c r="E8" s="166"/>
      <c r="F8" s="161"/>
      <c r="G8" s="148"/>
      <c r="H8" s="148"/>
      <c r="I8" s="149" t="s">
        <v>142</v>
      </c>
      <c r="J8" s="91" t="s">
        <v>143</v>
      </c>
      <c r="K8" s="91" t="s">
        <v>144</v>
      </c>
    </row>
    <row r="9" spans="1:11" ht="15.75">
      <c r="A9" s="23"/>
      <c r="B9" s="165" t="s">
        <v>145</v>
      </c>
      <c r="C9" s="166"/>
      <c r="D9" s="166"/>
      <c r="E9" s="166"/>
      <c r="F9" s="161"/>
      <c r="G9" s="58"/>
      <c r="H9" s="58"/>
      <c r="I9" s="58"/>
      <c r="J9" s="58"/>
      <c r="K9" s="91"/>
    </row>
    <row r="10" spans="1:11" ht="15.75" customHeight="1">
      <c r="A10" s="92"/>
      <c r="B10" s="210" t="s">
        <v>146</v>
      </c>
      <c r="C10" s="210"/>
      <c r="D10" s="210"/>
      <c r="E10" s="210"/>
      <c r="F10" s="210"/>
      <c r="G10" s="15"/>
      <c r="H10" s="15"/>
      <c r="I10" s="93">
        <v>274622.17</v>
      </c>
      <c r="J10" s="75"/>
      <c r="K10" s="59">
        <f>I10+J10</f>
        <v>274622.17</v>
      </c>
    </row>
    <row r="11" spans="1:11" ht="15.75" customHeight="1">
      <c r="A11" s="92"/>
      <c r="B11" s="210" t="s">
        <v>147</v>
      </c>
      <c r="C11" s="210"/>
      <c r="D11" s="210"/>
      <c r="E11" s="210"/>
      <c r="F11" s="210"/>
      <c r="G11" s="15"/>
      <c r="H11" s="15"/>
      <c r="I11" s="16">
        <v>10846.56</v>
      </c>
      <c r="J11" s="75"/>
      <c r="K11" s="59">
        <f>I11+J11</f>
        <v>10846.56</v>
      </c>
    </row>
    <row r="12" spans="1:11" ht="15.75" customHeight="1">
      <c r="A12" s="23"/>
      <c r="B12" s="210" t="s">
        <v>148</v>
      </c>
      <c r="C12" s="210"/>
      <c r="D12" s="210"/>
      <c r="E12" s="210"/>
      <c r="F12" s="210"/>
      <c r="G12" s="15"/>
      <c r="H12" s="15"/>
      <c r="I12" s="93"/>
      <c r="J12" s="75">
        <v>0</v>
      </c>
      <c r="K12" s="59">
        <f>I12+J12</f>
        <v>0</v>
      </c>
    </row>
    <row r="13" spans="1:11" ht="15.75" customHeight="1">
      <c r="A13" s="23"/>
      <c r="B13" s="210" t="s">
        <v>241</v>
      </c>
      <c r="C13" s="210"/>
      <c r="D13" s="210"/>
      <c r="E13" s="210"/>
      <c r="F13" s="210"/>
      <c r="G13" s="15"/>
      <c r="H13" s="15"/>
      <c r="I13" s="93">
        <v>0</v>
      </c>
      <c r="J13" s="95">
        <v>0</v>
      </c>
      <c r="K13" s="59">
        <f>I13+J13</f>
        <v>0</v>
      </c>
    </row>
    <row r="14" spans="1:11" ht="15.75" customHeight="1">
      <c r="A14" s="23"/>
      <c r="B14" s="163" t="s">
        <v>150</v>
      </c>
      <c r="C14" s="163"/>
      <c r="D14" s="163"/>
      <c r="E14" s="163"/>
      <c r="F14" s="163"/>
      <c r="G14" s="15"/>
      <c r="H14" s="15"/>
      <c r="I14" s="96">
        <f>SUM(I10:I12)</f>
        <v>285468.73</v>
      </c>
      <c r="J14" s="97">
        <f>SUM(J10:J12)</f>
        <v>0</v>
      </c>
      <c r="K14" s="116">
        <f>SUM(K10:K13)</f>
        <v>285468.73</v>
      </c>
    </row>
    <row r="15" spans="1:11" ht="18.75" customHeight="1">
      <c r="A15" s="23">
        <v>2</v>
      </c>
      <c r="B15" s="244" t="s">
        <v>66</v>
      </c>
      <c r="C15" s="244"/>
      <c r="D15" s="244"/>
      <c r="E15" s="244"/>
      <c r="F15" s="244"/>
      <c r="G15" s="15"/>
      <c r="H15" s="15"/>
      <c r="I15" s="93"/>
      <c r="J15" s="75"/>
      <c r="K15" s="35"/>
    </row>
    <row r="16" spans="1:11" ht="15.75">
      <c r="A16" s="23" t="s">
        <v>151</v>
      </c>
      <c r="B16" s="150" t="s">
        <v>67</v>
      </c>
      <c r="C16" s="150"/>
      <c r="D16" s="150"/>
      <c r="E16" s="150"/>
      <c r="F16" s="112"/>
      <c r="G16" s="149"/>
      <c r="H16" s="149"/>
      <c r="I16" s="149"/>
      <c r="J16" s="88"/>
      <c r="K16" s="91"/>
    </row>
    <row r="17" spans="1:11" ht="15.75" customHeight="1">
      <c r="A17" s="26"/>
      <c r="B17" s="209" t="s">
        <v>242</v>
      </c>
      <c r="C17" s="209"/>
      <c r="D17" s="209"/>
      <c r="E17" s="151" t="s">
        <v>33</v>
      </c>
      <c r="F17" s="80" t="s">
        <v>25</v>
      </c>
      <c r="G17" s="81">
        <v>1.22</v>
      </c>
      <c r="H17" s="81">
        <v>1.29</v>
      </c>
      <c r="I17" s="99">
        <f>ROUND($E$3*G17*6,2)+ROUND($E$3*H17*($L$7-6),2)</f>
        <v>24540.12</v>
      </c>
      <c r="J17" s="100"/>
      <c r="K17" s="101">
        <f>SUM(I17:J17)</f>
        <v>24540.12</v>
      </c>
    </row>
    <row r="18" spans="1:11" ht="36" customHeight="1">
      <c r="A18" s="23"/>
      <c r="B18" s="207" t="s">
        <v>18</v>
      </c>
      <c r="C18" s="207"/>
      <c r="D18" s="207"/>
      <c r="E18" s="151" t="s">
        <v>33</v>
      </c>
      <c r="F18" s="80" t="s">
        <v>20</v>
      </c>
      <c r="G18" s="81">
        <v>0.28</v>
      </c>
      <c r="H18" s="81">
        <v>0.3</v>
      </c>
      <c r="I18" s="99">
        <f>ROUND($E$3*G18*6,2)+ROUND($E$3*H18*($L$7-6),2)</f>
        <v>5651.66</v>
      </c>
      <c r="J18" s="100"/>
      <c r="K18" s="101">
        <f aca="true" t="shared" si="0" ref="K18:K37">SUM(I18:J18)</f>
        <v>5651.66</v>
      </c>
    </row>
    <row r="19" spans="1:11" ht="20.25" customHeight="1">
      <c r="A19" s="23"/>
      <c r="B19" s="202" t="s">
        <v>24</v>
      </c>
      <c r="C19" s="202"/>
      <c r="D19" s="202"/>
      <c r="E19" s="129" t="s">
        <v>152</v>
      </c>
      <c r="F19" s="83" t="s">
        <v>21</v>
      </c>
      <c r="G19" s="81">
        <v>0.99</v>
      </c>
      <c r="H19" s="81">
        <v>1.05</v>
      </c>
      <c r="I19" s="99">
        <f>K19-J19</f>
        <v>12421.79</v>
      </c>
      <c r="J19" s="100"/>
      <c r="K19" s="103">
        <v>12421.79</v>
      </c>
    </row>
    <row r="20" spans="1:11" ht="20.25" customHeight="1">
      <c r="A20" s="26"/>
      <c r="B20" s="209" t="s">
        <v>32</v>
      </c>
      <c r="C20" s="209"/>
      <c r="D20" s="209"/>
      <c r="E20" s="152" t="s">
        <v>9</v>
      </c>
      <c r="F20" s="84" t="s">
        <v>10</v>
      </c>
      <c r="G20" s="81">
        <v>0.51</v>
      </c>
      <c r="H20" s="81">
        <v>0.54</v>
      </c>
      <c r="I20" s="99">
        <f>ROUND($E$3*G20*6,2)+ROUND($E$3*H20*($L$7-6),2)</f>
        <v>10262.23</v>
      </c>
      <c r="J20" s="100"/>
      <c r="K20" s="101">
        <f t="shared" si="0"/>
        <v>10262.23</v>
      </c>
    </row>
    <row r="21" spans="1:11" ht="55.5" customHeight="1">
      <c r="A21" s="23"/>
      <c r="B21" s="202" t="s">
        <v>28</v>
      </c>
      <c r="C21" s="202"/>
      <c r="D21" s="202"/>
      <c r="E21" s="129" t="s">
        <v>153</v>
      </c>
      <c r="F21" s="83" t="s">
        <v>26</v>
      </c>
      <c r="G21" s="81">
        <v>0.12</v>
      </c>
      <c r="H21" s="81">
        <v>0.13</v>
      </c>
      <c r="I21" s="99">
        <f>K21-J21</f>
        <v>0</v>
      </c>
      <c r="J21" s="100"/>
      <c r="K21" s="103">
        <v>0</v>
      </c>
    </row>
    <row r="22" spans="1:11" ht="20.25" customHeight="1">
      <c r="A22" s="26"/>
      <c r="B22" s="202" t="s">
        <v>11</v>
      </c>
      <c r="C22" s="202"/>
      <c r="D22" s="202"/>
      <c r="E22" s="129" t="s">
        <v>9</v>
      </c>
      <c r="F22" s="83" t="s">
        <v>12</v>
      </c>
      <c r="G22" s="81">
        <v>2.22</v>
      </c>
      <c r="H22" s="81">
        <v>2.35</v>
      </c>
      <c r="I22" s="99">
        <f>ROUND($E$3*G22*6,2)+ROUND($E$3*H22*($L$7-6),2)</f>
        <v>44667.98</v>
      </c>
      <c r="J22" s="100"/>
      <c r="K22" s="101">
        <f t="shared" si="0"/>
        <v>44667.98</v>
      </c>
    </row>
    <row r="23" spans="1:11" ht="31.5" customHeight="1">
      <c r="A23" s="26"/>
      <c r="B23" s="202" t="s">
        <v>27</v>
      </c>
      <c r="C23" s="203"/>
      <c r="D23" s="203"/>
      <c r="E23" s="153" t="s">
        <v>13</v>
      </c>
      <c r="F23" s="77" t="s">
        <v>14</v>
      </c>
      <c r="G23" s="81">
        <v>0.05</v>
      </c>
      <c r="H23" s="81">
        <v>0.05</v>
      </c>
      <c r="I23" s="99">
        <f>K23-J23</f>
        <v>1962.6</v>
      </c>
      <c r="J23" s="100"/>
      <c r="K23" s="103">
        <v>1962.6</v>
      </c>
    </row>
    <row r="24" spans="1:11" ht="56.25" customHeight="1">
      <c r="A24" s="23"/>
      <c r="B24" s="202" t="s">
        <v>72</v>
      </c>
      <c r="C24" s="202"/>
      <c r="D24" s="202"/>
      <c r="E24" s="151" t="s">
        <v>243</v>
      </c>
      <c r="F24" s="46" t="s">
        <v>83</v>
      </c>
      <c r="G24" s="81">
        <v>2.15</v>
      </c>
      <c r="H24" s="81">
        <v>1.63</v>
      </c>
      <c r="I24" s="99">
        <f>ROUND($E$3*G24*6,2)+ROUND($E$3*H24*($L$7-6),2)</f>
        <v>40057.41</v>
      </c>
      <c r="J24" s="100"/>
      <c r="K24" s="101">
        <f t="shared" si="0"/>
        <v>40057.41</v>
      </c>
    </row>
    <row r="25" spans="1:11" ht="52.5" customHeight="1">
      <c r="A25" s="23"/>
      <c r="B25" s="207" t="s">
        <v>15</v>
      </c>
      <c r="C25" s="207"/>
      <c r="D25" s="207"/>
      <c r="E25" s="151" t="s">
        <v>136</v>
      </c>
      <c r="F25" s="46" t="s">
        <v>83</v>
      </c>
      <c r="G25" s="81">
        <v>0.53</v>
      </c>
      <c r="H25" s="81">
        <v>0.56</v>
      </c>
      <c r="I25" s="99">
        <f>K25-J25</f>
        <v>10267.98</v>
      </c>
      <c r="J25" s="100"/>
      <c r="K25" s="101">
        <v>10267.98</v>
      </c>
    </row>
    <row r="26" spans="1:11" ht="30" customHeight="1">
      <c r="A26" s="23"/>
      <c r="B26" s="208" t="s">
        <v>37</v>
      </c>
      <c r="C26" s="197"/>
      <c r="D26" s="198"/>
      <c r="E26" s="151" t="s">
        <v>36</v>
      </c>
      <c r="F26" s="46" t="s">
        <v>83</v>
      </c>
      <c r="G26" s="48">
        <f>3.52-G27-G28</f>
        <v>3.23</v>
      </c>
      <c r="H26" s="81">
        <f>4.38-H27-H28</f>
        <v>4.07</v>
      </c>
      <c r="I26" s="99">
        <f>ROUND($E$3*G26*6,2)+ROUND($E$3*H26*($L$7-6),2)</f>
        <v>68216.57</v>
      </c>
      <c r="J26" s="107"/>
      <c r="K26" s="101">
        <f t="shared" si="0"/>
        <v>68216.57</v>
      </c>
    </row>
    <row r="27" spans="1:11" ht="26.25" customHeight="1">
      <c r="A27" s="26"/>
      <c r="B27" s="202" t="s">
        <v>154</v>
      </c>
      <c r="C27" s="202"/>
      <c r="D27" s="202"/>
      <c r="E27" s="129" t="s">
        <v>9</v>
      </c>
      <c r="F27" s="46" t="s">
        <v>83</v>
      </c>
      <c r="G27" s="48">
        <v>0</v>
      </c>
      <c r="H27" s="140">
        <v>0</v>
      </c>
      <c r="I27" s="154">
        <f>ROUND($E$3*G27*6,2)+ROUND($E$3*H27*($L$7-6),2)</f>
        <v>0</v>
      </c>
      <c r="J27" s="107"/>
      <c r="K27" s="101">
        <f t="shared" si="0"/>
        <v>0</v>
      </c>
    </row>
    <row r="28" spans="1:11" ht="28.5" customHeight="1">
      <c r="A28" s="23"/>
      <c r="B28" s="202" t="s">
        <v>155</v>
      </c>
      <c r="C28" s="202"/>
      <c r="D28" s="202"/>
      <c r="E28" s="129" t="s">
        <v>9</v>
      </c>
      <c r="F28" s="46" t="s">
        <v>83</v>
      </c>
      <c r="G28" s="48">
        <v>0.29</v>
      </c>
      <c r="H28" s="81">
        <v>0.31</v>
      </c>
      <c r="I28" s="154">
        <f>ROUND($E$3*G28*6,2)+ROUND($E$3*H28*($L$7-6),2)</f>
        <v>5849.969999999999</v>
      </c>
      <c r="J28" s="107"/>
      <c r="K28" s="101">
        <f t="shared" si="0"/>
        <v>5849.969999999999</v>
      </c>
    </row>
    <row r="29" spans="1:11" ht="27" customHeight="1">
      <c r="A29" s="23"/>
      <c r="B29" s="203" t="s">
        <v>22</v>
      </c>
      <c r="C29" s="203"/>
      <c r="D29" s="203"/>
      <c r="E29" s="151" t="s">
        <v>36</v>
      </c>
      <c r="F29" s="46" t="s">
        <v>83</v>
      </c>
      <c r="G29" s="77">
        <v>1.45</v>
      </c>
      <c r="H29" s="81">
        <v>1.54</v>
      </c>
      <c r="I29" s="99">
        <f>ROUND($E$3*G29*6,2)+ROUND($E$3*H29*($L$7-6),2)</f>
        <v>29200.260000000002</v>
      </c>
      <c r="J29" s="100"/>
      <c r="K29" s="101">
        <f t="shared" si="0"/>
        <v>29200.260000000002</v>
      </c>
    </row>
    <row r="30" spans="1:11" ht="15.75">
      <c r="A30" s="23"/>
      <c r="B30" s="196"/>
      <c r="C30" s="197"/>
      <c r="D30" s="198"/>
      <c r="E30" s="102"/>
      <c r="F30" s="46"/>
      <c r="G30" s="77"/>
      <c r="H30" s="77"/>
      <c r="I30" s="106"/>
      <c r="J30" s="95"/>
      <c r="K30" s="108"/>
    </row>
    <row r="31" spans="1:11" ht="15.75">
      <c r="A31" s="23"/>
      <c r="B31" s="243" t="s">
        <v>31</v>
      </c>
      <c r="C31" s="243"/>
      <c r="D31" s="243"/>
      <c r="E31" s="23"/>
      <c r="F31" s="46"/>
      <c r="G31" s="24">
        <f>SUM(G17:G29)</f>
        <v>13.039999999999997</v>
      </c>
      <c r="H31" s="24">
        <f>SUM(H17:H29)</f>
        <v>13.82</v>
      </c>
      <c r="I31" s="116">
        <f>SUM(I17:I30)</f>
        <v>253098.57000000004</v>
      </c>
      <c r="J31" s="97"/>
      <c r="K31" s="116">
        <f>SUM(K17:K30)</f>
        <v>253098.57000000004</v>
      </c>
    </row>
    <row r="32" spans="1:11" ht="15.75" hidden="1">
      <c r="A32" s="23"/>
      <c r="B32" s="204" t="s">
        <v>156</v>
      </c>
      <c r="C32" s="205"/>
      <c r="D32" s="206"/>
      <c r="E32" s="102" t="s">
        <v>9</v>
      </c>
      <c r="F32" s="46"/>
      <c r="G32" s="77"/>
      <c r="H32" s="77"/>
      <c r="I32" s="106"/>
      <c r="J32" s="95"/>
      <c r="K32" s="108"/>
    </row>
    <row r="33" spans="1:11" ht="25.5" hidden="1">
      <c r="A33" s="23"/>
      <c r="B33" s="204" t="s">
        <v>157</v>
      </c>
      <c r="C33" s="205"/>
      <c r="D33" s="206"/>
      <c r="E33" s="98" t="s">
        <v>36</v>
      </c>
      <c r="F33" s="46"/>
      <c r="G33" s="77"/>
      <c r="H33" s="77"/>
      <c r="I33" s="106"/>
      <c r="J33" s="95"/>
      <c r="K33" s="108"/>
    </row>
    <row r="34" spans="1:11" ht="15.75" hidden="1">
      <c r="A34" s="23"/>
      <c r="B34" s="196"/>
      <c r="C34" s="197"/>
      <c r="D34" s="198"/>
      <c r="E34" s="102"/>
      <c r="F34" s="46"/>
      <c r="G34" s="77"/>
      <c r="H34" s="77"/>
      <c r="I34" s="106"/>
      <c r="J34" s="95"/>
      <c r="K34" s="108"/>
    </row>
    <row r="35" spans="1:11" ht="38.25" customHeight="1">
      <c r="A35" s="23" t="s">
        <v>158</v>
      </c>
      <c r="B35" s="199" t="s">
        <v>159</v>
      </c>
      <c r="C35" s="200"/>
      <c r="D35" s="200"/>
      <c r="E35" s="201"/>
      <c r="F35" s="46" t="s">
        <v>83</v>
      </c>
      <c r="G35" s="24">
        <f>I35/E3/6</f>
        <v>1.1295788284653863</v>
      </c>
      <c r="H35" s="24">
        <v>0</v>
      </c>
      <c r="I35" s="155">
        <v>16800</v>
      </c>
      <c r="J35" s="110"/>
      <c r="K35" s="116">
        <f t="shared" si="0"/>
        <v>16800</v>
      </c>
    </row>
    <row r="36" spans="1:11" ht="15" customHeight="1">
      <c r="A36" s="25"/>
      <c r="B36" s="192" t="s">
        <v>70</v>
      </c>
      <c r="C36" s="192"/>
      <c r="D36" s="192"/>
      <c r="E36" s="192"/>
      <c r="F36" s="192"/>
      <c r="G36" s="24">
        <f>SUM(G31:G35)</f>
        <v>14.169578828465383</v>
      </c>
      <c r="H36" s="24">
        <f>SUM(H31:H35)</f>
        <v>13.82</v>
      </c>
      <c r="I36" s="156">
        <f>SUM(I31:I35)</f>
        <v>269898.57000000007</v>
      </c>
      <c r="J36" s="157"/>
      <c r="K36" s="157">
        <f>SUM(K31:K35)</f>
        <v>269898.57000000007</v>
      </c>
    </row>
    <row r="37" spans="1:11" ht="14.25" customHeight="1">
      <c r="A37" s="23" t="s">
        <v>160</v>
      </c>
      <c r="B37" s="192" t="s">
        <v>161</v>
      </c>
      <c r="C37" s="192"/>
      <c r="D37" s="192"/>
      <c r="E37" s="192"/>
      <c r="F37" s="192"/>
      <c r="G37" s="24"/>
      <c r="H37" s="24"/>
      <c r="I37" s="113">
        <v>0</v>
      </c>
      <c r="J37" s="113"/>
      <c r="K37" s="158">
        <f t="shared" si="0"/>
        <v>0</v>
      </c>
    </row>
    <row r="38" spans="1:11" ht="18.75">
      <c r="A38" s="25"/>
      <c r="B38" s="192" t="s">
        <v>162</v>
      </c>
      <c r="C38" s="192"/>
      <c r="D38" s="192"/>
      <c r="E38" s="192"/>
      <c r="F38" s="192"/>
      <c r="G38" s="24">
        <f>SUM(G36:G37)</f>
        <v>14.169578828465383</v>
      </c>
      <c r="H38" s="24">
        <f>SUM(H36:H37)</f>
        <v>13.82</v>
      </c>
      <c r="I38" s="156">
        <f>SUM(I36:I37)</f>
        <v>269898.57000000007</v>
      </c>
      <c r="J38" s="157"/>
      <c r="K38" s="157">
        <f>SUM(K36:K37)</f>
        <v>269898.57000000007</v>
      </c>
    </row>
    <row r="39" spans="1:11" ht="15" customHeight="1">
      <c r="A39" s="23">
        <v>3</v>
      </c>
      <c r="B39" s="241" t="s">
        <v>244</v>
      </c>
      <c r="C39" s="194"/>
      <c r="D39" s="194"/>
      <c r="E39" s="194"/>
      <c r="F39" s="194"/>
      <c r="G39" s="195"/>
      <c r="H39" s="144"/>
      <c r="I39" s="99">
        <f>I14-I38</f>
        <v>15570.159999999916</v>
      </c>
      <c r="J39" s="99"/>
      <c r="K39" s="97">
        <f>K14-K38</f>
        <v>15570.159999999916</v>
      </c>
    </row>
    <row r="40" spans="2:6" ht="15.75" customHeight="1">
      <c r="B40" s="34"/>
      <c r="F40" s="34"/>
    </row>
    <row r="41" spans="2:10" ht="15.75">
      <c r="B41" s="242" t="s">
        <v>245</v>
      </c>
      <c r="C41" s="242"/>
      <c r="D41" s="242"/>
      <c r="E41" s="242"/>
      <c r="F41" s="242"/>
      <c r="G41" s="242"/>
      <c r="H41" s="242"/>
      <c r="I41" s="242"/>
      <c r="J41" s="242"/>
    </row>
    <row r="42" spans="2:4" ht="15.75">
      <c r="B42" s="34"/>
      <c r="C42" s="34"/>
      <c r="D42" s="34"/>
    </row>
    <row r="43" spans="2:4" ht="15.75">
      <c r="B43" s="159" t="s">
        <v>80</v>
      </c>
      <c r="C43" s="159"/>
      <c r="D43" s="159"/>
    </row>
    <row r="44" spans="2:9" ht="15.75">
      <c r="B44" s="34" t="s">
        <v>246</v>
      </c>
      <c r="C44" s="34"/>
      <c r="D44" s="34"/>
      <c r="E44" s="34"/>
      <c r="F44" s="34"/>
      <c r="G44" s="34"/>
      <c r="H44" s="34"/>
      <c r="I44" s="34"/>
    </row>
    <row r="45" spans="2:4" ht="15.75" customHeight="1">
      <c r="B45" s="172" t="s">
        <v>87</v>
      </c>
      <c r="C45" s="172"/>
      <c r="D45" s="172"/>
    </row>
    <row r="47" ht="15.75">
      <c r="B47" t="s">
        <v>247</v>
      </c>
    </row>
  </sheetData>
  <mergeCells count="37">
    <mergeCell ref="B7:D7"/>
    <mergeCell ref="I7:K7"/>
    <mergeCell ref="A1:K1"/>
    <mergeCell ref="A2:K2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37:F37"/>
    <mergeCell ref="B38:F38"/>
    <mergeCell ref="B39:G39"/>
    <mergeCell ref="B41:J41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11"/>
  <sheetViews>
    <sheetView zoomScalePageLayoutView="0" workbookViewId="0" topLeftCell="K1">
      <selection activeCell="S10" sqref="S10"/>
    </sheetView>
  </sheetViews>
  <sheetFormatPr defaultColWidth="9.00390625" defaultRowHeight="15.75"/>
  <cols>
    <col min="1" max="1" width="11.875" style="0" customWidth="1"/>
    <col min="2" max="2" width="6.125" style="0" customWidth="1"/>
    <col min="3" max="3" width="11.875" style="0" customWidth="1"/>
    <col min="4" max="4" width="10.50390625" style="0" customWidth="1"/>
    <col min="5" max="5" width="12.75390625" style="0" customWidth="1"/>
    <col min="6" max="6" width="12.125" style="0" customWidth="1"/>
    <col min="7" max="7" width="10.375" style="0" customWidth="1"/>
    <col min="8" max="8" width="12.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3.12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11.375" style="0" customWidth="1"/>
    <col min="18" max="18" width="12.625" style="0" customWidth="1"/>
    <col min="19" max="19" width="11.875" style="0" customWidth="1"/>
  </cols>
  <sheetData>
    <row r="1" spans="1:19" ht="104.25" customHeight="1">
      <c r="A1" s="249" t="s">
        <v>214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15.75" customHeight="1">
      <c r="A2" s="225" t="s">
        <v>164</v>
      </c>
      <c r="B2" s="243" t="s">
        <v>165</v>
      </c>
      <c r="C2" s="243" t="s">
        <v>166</v>
      </c>
      <c r="D2" s="243"/>
      <c r="E2" s="243"/>
      <c r="F2" s="243"/>
      <c r="G2" s="243"/>
      <c r="H2" s="243"/>
      <c r="I2" s="243"/>
      <c r="J2" s="250" t="s">
        <v>167</v>
      </c>
      <c r="K2" s="250"/>
      <c r="L2" s="250"/>
      <c r="M2" s="251" t="s">
        <v>168</v>
      </c>
      <c r="N2" s="243" t="s">
        <v>169</v>
      </c>
      <c r="O2" s="243"/>
      <c r="P2" s="243"/>
      <c r="Q2" s="243"/>
      <c r="R2" s="243"/>
      <c r="S2" s="161" t="s">
        <v>205</v>
      </c>
    </row>
    <row r="3" spans="1:19" ht="15.75">
      <c r="A3" s="243"/>
      <c r="B3" s="243"/>
      <c r="C3" s="212" t="s">
        <v>170</v>
      </c>
      <c r="D3" s="213"/>
      <c r="E3" s="214"/>
      <c r="F3" s="212" t="s">
        <v>171</v>
      </c>
      <c r="G3" s="213"/>
      <c r="H3" s="214"/>
      <c r="I3" s="225" t="s">
        <v>172</v>
      </c>
      <c r="J3" s="245" t="s">
        <v>173</v>
      </c>
      <c r="K3" s="247" t="s">
        <v>174</v>
      </c>
      <c r="L3" s="245" t="s">
        <v>175</v>
      </c>
      <c r="M3" s="252"/>
      <c r="N3" s="225" t="s">
        <v>176</v>
      </c>
      <c r="O3" s="243" t="s">
        <v>177</v>
      </c>
      <c r="P3" s="243" t="s">
        <v>178</v>
      </c>
      <c r="Q3" s="243" t="s">
        <v>179</v>
      </c>
      <c r="R3" s="243" t="s">
        <v>180</v>
      </c>
      <c r="S3" s="161"/>
    </row>
    <row r="4" spans="1:19" ht="47.25" customHeight="1">
      <c r="A4" s="243"/>
      <c r="B4" s="243"/>
      <c r="C4" s="11" t="s">
        <v>181</v>
      </c>
      <c r="D4" s="23" t="s">
        <v>179</v>
      </c>
      <c r="E4" s="23" t="s">
        <v>180</v>
      </c>
      <c r="F4" s="11" t="s">
        <v>181</v>
      </c>
      <c r="G4" s="23" t="s">
        <v>179</v>
      </c>
      <c r="H4" s="23" t="s">
        <v>180</v>
      </c>
      <c r="I4" s="225"/>
      <c r="J4" s="246"/>
      <c r="K4" s="248"/>
      <c r="L4" s="246"/>
      <c r="M4" s="253"/>
      <c r="N4" s="243"/>
      <c r="O4" s="243"/>
      <c r="P4" s="243"/>
      <c r="Q4" s="243"/>
      <c r="R4" s="243"/>
      <c r="S4" s="161"/>
    </row>
    <row r="5" spans="1:19" ht="31.5">
      <c r="A5" s="23">
        <v>1</v>
      </c>
      <c r="B5" s="23">
        <v>2</v>
      </c>
      <c r="C5" s="11">
        <v>3</v>
      </c>
      <c r="D5" s="23">
        <v>4</v>
      </c>
      <c r="E5" s="23" t="s">
        <v>182</v>
      </c>
      <c r="F5" s="11">
        <v>6</v>
      </c>
      <c r="G5" s="23">
        <v>7</v>
      </c>
      <c r="H5" s="23" t="s">
        <v>183</v>
      </c>
      <c r="I5" s="11" t="s">
        <v>184</v>
      </c>
      <c r="J5" s="23">
        <v>10</v>
      </c>
      <c r="K5" s="23">
        <v>11</v>
      </c>
      <c r="L5" s="11">
        <v>12</v>
      </c>
      <c r="M5" s="11" t="s">
        <v>185</v>
      </c>
      <c r="N5" s="23">
        <v>14</v>
      </c>
      <c r="O5" s="11">
        <v>15</v>
      </c>
      <c r="P5" s="23">
        <v>16</v>
      </c>
      <c r="Q5" s="23">
        <v>17</v>
      </c>
      <c r="R5" s="11" t="s">
        <v>186</v>
      </c>
      <c r="S5" s="117" t="s">
        <v>187</v>
      </c>
    </row>
    <row r="6" spans="1:19" ht="15.75">
      <c r="A6" s="94"/>
      <c r="B6" s="57" t="s">
        <v>188</v>
      </c>
      <c r="C6" s="94">
        <f>'2008'!D9</f>
        <v>202678.95</v>
      </c>
      <c r="D6" s="94">
        <f>'2008'!D13</f>
        <v>10061.69</v>
      </c>
      <c r="E6" s="94">
        <f>SUM(C6:D6)</f>
        <v>212740.64</v>
      </c>
      <c r="F6" s="94">
        <f>'2008'!D10</f>
        <v>195167.29</v>
      </c>
      <c r="G6" s="94">
        <f>'2008'!D14</f>
        <v>9912.89</v>
      </c>
      <c r="H6" s="94">
        <f>SUM(F6:G6)</f>
        <v>205080.18</v>
      </c>
      <c r="I6" s="59">
        <f>E6-H6</f>
        <v>7660.460000000021</v>
      </c>
      <c r="J6" s="94">
        <v>0</v>
      </c>
      <c r="K6" s="94">
        <v>0</v>
      </c>
      <c r="L6" s="94">
        <v>229652.55</v>
      </c>
      <c r="M6" s="94">
        <f>H6+J6+K6+L6</f>
        <v>434732.73</v>
      </c>
      <c r="N6" s="94">
        <f>'2008'!D23</f>
        <v>22294.684500000003</v>
      </c>
      <c r="O6" s="94">
        <f>'2008'!D24</f>
        <v>141875.26499999998</v>
      </c>
      <c r="P6" s="94">
        <f>'2008'!D25</f>
        <v>10570</v>
      </c>
      <c r="Q6" s="59">
        <v>241739.52</v>
      </c>
      <c r="R6" s="94">
        <f>SUM(N6:Q6)</f>
        <v>416479.4695</v>
      </c>
      <c r="S6" s="94">
        <f>M6-R6</f>
        <v>18253.260499999975</v>
      </c>
    </row>
    <row r="7" spans="1:19" ht="15.75">
      <c r="A7" s="94">
        <f>S6</f>
        <v>18253.260499999975</v>
      </c>
      <c r="B7" s="57" t="s">
        <v>189</v>
      </c>
      <c r="C7" s="94">
        <f>'отчет 2009'!H10</f>
        <v>353331.36</v>
      </c>
      <c r="D7" s="94">
        <v>14809.56</v>
      </c>
      <c r="E7" s="94">
        <f>SUM(C7:D7)</f>
        <v>368140.92</v>
      </c>
      <c r="F7" s="94">
        <f>'отчет 2009'!H13</f>
        <v>328424.77</v>
      </c>
      <c r="G7" s="94">
        <v>14623.68</v>
      </c>
      <c r="H7" s="94">
        <f>SUM(F7:G7)</f>
        <v>343048.45</v>
      </c>
      <c r="I7" s="59">
        <f>E7-H7</f>
        <v>25092.469999999972</v>
      </c>
      <c r="J7" s="94">
        <v>0</v>
      </c>
      <c r="K7" s="94">
        <v>0</v>
      </c>
      <c r="L7" s="94">
        <v>0</v>
      </c>
      <c r="M7" s="94">
        <f>H7+J7+K7+L7</f>
        <v>343048.45</v>
      </c>
      <c r="N7" s="94">
        <f>'отчет 2009'!H31</f>
        <v>37542.96</v>
      </c>
      <c r="O7" s="94">
        <f>'отчет 2009'!H32-'отчет 2009'!H31</f>
        <v>299151.83999999997</v>
      </c>
      <c r="P7" s="94">
        <f>'отчет 2009'!H33</f>
        <v>39100</v>
      </c>
      <c r="Q7" s="59">
        <v>0</v>
      </c>
      <c r="R7" s="94">
        <f>SUM(N7:Q7)</f>
        <v>375794.8</v>
      </c>
      <c r="S7" s="94">
        <f>M7-R7</f>
        <v>-32746.349999999977</v>
      </c>
    </row>
    <row r="8" spans="1:19" ht="15.75">
      <c r="A8" s="94">
        <f>A7+S7</f>
        <v>-14493.089500000002</v>
      </c>
      <c r="B8" s="57" t="s">
        <v>190</v>
      </c>
      <c r="C8" s="94">
        <v>357158.16</v>
      </c>
      <c r="D8" s="94">
        <v>14805.29</v>
      </c>
      <c r="E8" s="94">
        <f>SUM(C8:D8)</f>
        <v>371963.44999999995</v>
      </c>
      <c r="F8" s="94">
        <f>'отчет 2010'!H10</f>
        <v>350246.24</v>
      </c>
      <c r="G8" s="94">
        <f>'отчет 2010'!H11</f>
        <v>14867.73</v>
      </c>
      <c r="H8" s="94">
        <f>SUM(F8:G8)</f>
        <v>365113.97</v>
      </c>
      <c r="I8" s="59">
        <f>E8-H8</f>
        <v>6849.479999999981</v>
      </c>
      <c r="J8" s="94">
        <v>0</v>
      </c>
      <c r="K8" s="94">
        <v>0</v>
      </c>
      <c r="L8" s="94">
        <v>0</v>
      </c>
      <c r="M8" s="94">
        <f>H8+J8+K8+L8</f>
        <v>365113.97</v>
      </c>
      <c r="N8" s="94">
        <f>'отчет 2010'!J29</f>
        <v>36105.05</v>
      </c>
      <c r="O8" s="94">
        <f>'отчет 2010'!J34-'отчет 2010'!J29</f>
        <v>369840.364</v>
      </c>
      <c r="P8" s="94">
        <f>'отчет 2010'!H35</f>
        <v>65100</v>
      </c>
      <c r="Q8" s="59">
        <v>0</v>
      </c>
      <c r="R8" s="94">
        <f>SUM(N8:Q8)</f>
        <v>471045.414</v>
      </c>
      <c r="S8" s="94">
        <f>M8-R8</f>
        <v>-105931.44400000002</v>
      </c>
    </row>
    <row r="9" spans="1:19" ht="15.75">
      <c r="A9" s="94">
        <f>A8+S8</f>
        <v>-120424.53350000002</v>
      </c>
      <c r="B9" s="57" t="s">
        <v>191</v>
      </c>
      <c r="C9" s="94">
        <v>411448.82</v>
      </c>
      <c r="D9" s="94">
        <v>17109.56</v>
      </c>
      <c r="E9" s="94">
        <f>SUM(C9:D9)</f>
        <v>428558.38</v>
      </c>
      <c r="F9" s="94">
        <f>'отчет 2011'!H10</f>
        <v>389442.03</v>
      </c>
      <c r="G9" s="94">
        <f>'отчет 2011'!H11</f>
        <v>16365.61</v>
      </c>
      <c r="H9" s="94">
        <f>SUM(F9:G9)</f>
        <v>405807.64</v>
      </c>
      <c r="I9" s="59">
        <f>E9-H9</f>
        <v>22750.73999999999</v>
      </c>
      <c r="J9" s="94">
        <f>'отчет 2011'!I12</f>
        <v>0</v>
      </c>
      <c r="K9" s="94">
        <f>'отчет 2011'!H13</f>
        <v>0</v>
      </c>
      <c r="L9" s="94">
        <f>'отчет 2011'!H13</f>
        <v>0</v>
      </c>
      <c r="M9" s="94">
        <f>H9+J9+K9+L9</f>
        <v>405807.64</v>
      </c>
      <c r="N9" s="94">
        <f>'отчет 2011'!J29</f>
        <v>41549.46</v>
      </c>
      <c r="O9" s="94">
        <f>'отчет 2011'!J32-'отчет 2011'!J29</f>
        <v>316633.64600000007</v>
      </c>
      <c r="P9" s="94">
        <f>'отчет 2011'!H36</f>
        <v>162087</v>
      </c>
      <c r="Q9" s="160">
        <f>'отчет 2011'!H38</f>
        <v>0</v>
      </c>
      <c r="R9" s="94">
        <f>SUM(N9:Q9)</f>
        <v>520270.1060000001</v>
      </c>
      <c r="S9" s="94">
        <f>M9-R9</f>
        <v>-114462.46600000007</v>
      </c>
    </row>
    <row r="10" spans="1:19" ht="15.75">
      <c r="A10" s="94">
        <f>A9+S9</f>
        <v>-234886.9995000001</v>
      </c>
      <c r="B10" s="57" t="s">
        <v>192</v>
      </c>
      <c r="C10" s="94">
        <v>280324.98</v>
      </c>
      <c r="D10" s="94">
        <v>11792.62</v>
      </c>
      <c r="E10" s="94">
        <f>SUM(C10:D10)</f>
        <v>292117.6</v>
      </c>
      <c r="F10" s="94">
        <f>'отчет12(01-08)'!I10</f>
        <v>274622.17</v>
      </c>
      <c r="G10" s="94">
        <f>'отчет12(01-08)'!I11</f>
        <v>10846.56</v>
      </c>
      <c r="H10" s="94">
        <f>SUM(F10:G10)</f>
        <v>285468.73</v>
      </c>
      <c r="I10" s="59">
        <f>E10-H10</f>
        <v>6648.869999999995</v>
      </c>
      <c r="J10" s="94">
        <v>0</v>
      </c>
      <c r="K10" s="94">
        <v>0</v>
      </c>
      <c r="L10" s="94">
        <v>0</v>
      </c>
      <c r="M10" s="94">
        <f>H10+J10+K10+L10</f>
        <v>285468.73</v>
      </c>
      <c r="N10" s="94">
        <f>'отчет12(01-08)'!K29</f>
        <v>29200.260000000002</v>
      </c>
      <c r="O10" s="94">
        <f>'отчет12(01-08)'!K31-'отчет12(01-08)'!K29</f>
        <v>223898.31000000003</v>
      </c>
      <c r="P10" s="94">
        <f>'отчет12(01-08)'!I35</f>
        <v>16800</v>
      </c>
      <c r="Q10" s="160">
        <f>'отчет12(01-08)'!I37</f>
        <v>0</v>
      </c>
      <c r="R10" s="35">
        <f>SUM(N10:Q10)</f>
        <v>269898.57000000007</v>
      </c>
      <c r="S10" s="35">
        <f>M10-R10</f>
        <v>15570.159999999916</v>
      </c>
    </row>
    <row r="11" spans="1:19" ht="15.75">
      <c r="A11" s="35"/>
      <c r="B11" s="57" t="s">
        <v>204</v>
      </c>
      <c r="C11" s="32">
        <f aca="true" t="shared" si="0" ref="C11:S11">SUM(C6:C10)</f>
        <v>1604942.27</v>
      </c>
      <c r="D11" s="32">
        <f t="shared" si="0"/>
        <v>68578.72</v>
      </c>
      <c r="E11" s="32">
        <f t="shared" si="0"/>
        <v>1673520.9900000002</v>
      </c>
      <c r="F11" s="32">
        <f t="shared" si="0"/>
        <v>1537902.5</v>
      </c>
      <c r="G11" s="32">
        <f t="shared" si="0"/>
        <v>66616.47</v>
      </c>
      <c r="H11" s="32">
        <f t="shared" si="0"/>
        <v>1604518.97</v>
      </c>
      <c r="I11" s="32">
        <f t="shared" si="0"/>
        <v>69002.01999999996</v>
      </c>
      <c r="J11" s="32">
        <f t="shared" si="0"/>
        <v>0</v>
      </c>
      <c r="K11" s="32">
        <f t="shared" si="0"/>
        <v>0</v>
      </c>
      <c r="L11" s="32">
        <f t="shared" si="0"/>
        <v>229652.55</v>
      </c>
      <c r="M11" s="32">
        <f t="shared" si="0"/>
        <v>1834171.52</v>
      </c>
      <c r="N11" s="32">
        <f t="shared" si="0"/>
        <v>166692.4145</v>
      </c>
      <c r="O11" s="32">
        <f t="shared" si="0"/>
        <v>1351399.4250000003</v>
      </c>
      <c r="P11" s="32">
        <f t="shared" si="0"/>
        <v>293657</v>
      </c>
      <c r="Q11" s="32">
        <f t="shared" si="0"/>
        <v>241739.52</v>
      </c>
      <c r="R11" s="32">
        <f t="shared" si="0"/>
        <v>2053488.3595</v>
      </c>
      <c r="S11" s="32">
        <f t="shared" si="0"/>
        <v>-219316.83950000018</v>
      </c>
    </row>
  </sheetData>
  <sheetProtection/>
  <mergeCells count="19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I3:I4"/>
    <mergeCell ref="J3:J4"/>
    <mergeCell ref="K3:K4"/>
    <mergeCell ref="L3:L4"/>
    <mergeCell ref="R3:R4"/>
    <mergeCell ref="N3:N4"/>
    <mergeCell ref="O3:O4"/>
    <mergeCell ref="P3:P4"/>
    <mergeCell ref="Q3:Q4"/>
  </mergeCells>
  <printOptions/>
  <pageMargins left="0" right="0" top="0" bottom="0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2013-03-05T06:18:06Z</cp:lastPrinted>
  <dcterms:created xsi:type="dcterms:W3CDTF">2009-08-26T03:25:10Z</dcterms:created>
  <dcterms:modified xsi:type="dcterms:W3CDTF">2013-03-25T08:18:48Z</dcterms:modified>
  <cp:category/>
  <cp:version/>
  <cp:contentType/>
  <cp:contentStatus/>
</cp:coreProperties>
</file>