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26" yWindow="65521" windowWidth="15480" windowHeight="11640" firstSheet="8" activeTab="8"/>
  </bookViews>
  <sheets>
    <sheet name="2008" sheetId="1" r:id="rId1"/>
    <sheet name="отчет 2009" sheetId="2" r:id="rId2"/>
    <sheet name="отчет 2010" sheetId="3" r:id="rId3"/>
    <sheet name="смета 2011" sheetId="4" r:id="rId4"/>
    <sheet name="отчет 2011" sheetId="5" state="hidden" r:id="rId5"/>
    <sheet name="смета 2012" sheetId="6" state="hidden" r:id="rId6"/>
    <sheet name="07.12" sheetId="7" state="hidden" r:id="rId7"/>
    <sheet name="план2013" sheetId="8" state="hidden" r:id="rId8"/>
    <sheet name="отчет12г (09-12)" sheetId="9" r:id="rId9"/>
    <sheet name="накопит отчет" sheetId="10" state="hidden" r:id="rId10"/>
  </sheets>
  <externalReferences>
    <externalReference r:id="rId13"/>
  </externalReferences>
  <definedNames>
    <definedName name="_xlnm.Print_Area" localSheetId="5">'смета 2012'!$A$1:$I$34</definedName>
  </definedNames>
  <calcPr fullCalcOnLoad="1"/>
</workbook>
</file>

<file path=xl/sharedStrings.xml><?xml version="1.0" encoding="utf-8"?>
<sst xmlns="http://schemas.openxmlformats.org/spreadsheetml/2006/main" count="765" uniqueCount="258">
  <si>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</si>
  <si>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</si>
  <si>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</si>
  <si>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</si>
  <si>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</si>
  <si>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</si>
  <si>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</si>
  <si>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</si>
  <si>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</si>
  <si>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</si>
  <si>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</si>
  <si>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</si>
  <si>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</si>
  <si>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</si>
  <si>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</si>
  <si>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</si>
  <si>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</si>
  <si>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</si>
  <si>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</si>
  <si>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</si>
  <si>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</si>
  <si>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</si>
  <si>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</si>
  <si>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</si>
  <si>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</si>
  <si>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</si>
  <si>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</si>
  <si>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</si>
  <si>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</si>
  <si>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</si>
  <si>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</si>
  <si>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</si>
  <si>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</si>
  <si>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</si>
  <si>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</si>
  <si>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</si>
  <si>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</si>
  <si>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</si>
  <si>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</si>
  <si>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</si>
  <si>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</si>
  <si>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</si>
  <si>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</si>
  <si>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</si>
  <si>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</si>
  <si>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</si>
  <si>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</si>
  <si>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</si>
  <si>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</si>
  <si>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</si>
  <si>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</si>
  <si>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</si>
  <si>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</si>
  <si>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</si>
  <si>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</si>
  <si>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</si>
  <si>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</si>
  <si>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</si>
  <si>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</si>
  <si>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</si>
  <si>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</si>
  <si>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</si>
  <si>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</si>
  <si>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</si>
  <si>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</si>
  <si>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</si>
  <si>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</si>
  <si>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</si>
  <si>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</si>
  <si>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</si>
  <si>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</si>
  <si>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</si>
  <si>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</si>
  <si>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</si>
  <si>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</si>
  <si>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</si>
  <si>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</si>
  <si>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Противопожарные мероприятия:  содержание и обслуживание вентканалов и шахт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</si>
  <si>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</si>
  <si>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</si>
  <si>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</si>
  <si>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ООО "ОЖКС № 6"</t>
  </si>
  <si>
    <t>Адрес:</t>
  </si>
  <si>
    <t>Добровольского, 15</t>
  </si>
  <si>
    <t xml:space="preserve">               Представитель собственников  - старший по дому Свиридов А.Н.,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</si>
  <si>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Старший по дому                                                                     А.Н. Свиридов</t>
  </si>
  <si>
    <t>Претензий по управлению нет (да)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</si>
  <si>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</si>
  <si>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</si>
  <si>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</si>
  <si>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Сбор, вывоз  бытового мусора, содержание контейнерных площадок</t>
  </si>
  <si>
    <t>1 раз/неделю - подметание
1 раз/месяц 
влажная уборка</t>
  </si>
  <si>
    <t>ООО  "ОЖКС № 6"</t>
  </si>
  <si>
    <t>ОТЧЕТ
о выполненных работах в 2008 году по договору управления МКД 
№75 от 28.03.2008 г., заключенного между ООО "ОЖКС №6" и собственниками многоквартирного дома
по адресу:  ул. Добровольского, 15.</t>
  </si>
  <si>
    <t xml:space="preserve">            Представитель собственников  - старший по дому Свиридов А.Н.,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</si>
  <si>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</si>
  <si>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</si>
  <si>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</si>
  <si>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</si>
  <si>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</si>
  <si>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</si>
  <si>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</si>
  <si>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</si>
  <si>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</si>
  <si>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</si>
  <si>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</si>
  <si>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</si>
  <si>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</si>
  <si>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</si>
  <si>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</si>
  <si>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</si>
  <si>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</si>
  <si>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</si>
  <si>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</si>
  <si>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</si>
  <si>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</si>
  <si>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</si>
  <si>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</si>
  <si>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</si>
  <si>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</si>
  <si>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</si>
  <si>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</si>
  <si>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</si>
  <si>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</si>
  <si>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</si>
  <si>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</si>
  <si>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</si>
  <si>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</si>
  <si>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</si>
  <si>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</si>
  <si>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</si>
  <si>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</si>
  <si>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</si>
  <si>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</si>
  <si>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</si>
  <si>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</si>
  <si>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</si>
  <si>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</si>
  <si>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</si>
  <si>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</si>
  <si>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</si>
  <si>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</si>
  <si>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</si>
  <si>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</si>
  <si>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</si>
  <si>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</si>
  <si>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</si>
  <si>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</si>
  <si>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</si>
  <si>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</si>
  <si>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</si>
  <si>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</si>
  <si>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</si>
  <si>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</si>
  <si>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</si>
  <si>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</si>
  <si>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</si>
  <si>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</si>
  <si>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</si>
  <si>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</si>
  <si>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</si>
  <si>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</si>
  <si>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</si>
  <si>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</si>
  <si>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</si>
  <si>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</si>
  <si>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</si>
  <si>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</si>
  <si>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</si>
  <si>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</si>
  <si>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</si>
  <si>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</si>
  <si>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</si>
  <si>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</si>
  <si>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</si>
  <si>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</si>
  <si>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</si>
  <si>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</si>
  <si>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</si>
  <si>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</si>
  <si>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</si>
  <si>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</si>
  <si>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</si>
  <si>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</si>
  <si>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</si>
  <si>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</si>
  <si>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Итого</t>
  </si>
  <si>
    <t>ОТЧЕТ
за  2009 г. о выполненнии условий  договора управления МКД
№ 75/6 от 28.03.2008 г., заключенного между ООО "ОЖКС №6" и собственниками многоквартирного дома
по адресу:  ул. Добровольского, 15</t>
  </si>
  <si>
    <t>ОТЧЕТ
за  2010 г. о выполненнии условий  договора управления МКД 
№ 75/6 от 28.03.2008 г., заключенного между ООО "ОЖКС №6" и собственниками многоквартирного дома
по адресу:  ул. Добровольского, 15</t>
  </si>
  <si>
    <t xml:space="preserve">                 Представитель собственников  - старший по дому Свиридов А.Н.,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2010 году.  </t>
  </si>
  <si>
    <t xml:space="preserve">Директор ООО "ОЖКС № 6"                                                                 Л.И. Никашина                               </t>
  </si>
  <si>
    <t>Смета
доходов и расходов  на  2011 г.
согласно договора управления МКД 
№75/6 от 28.03.2008 г., заключенного между ООО "ОЖКС №6" и собственниками многоквартирного дома
по адресу:  ул. Добровольского, 15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</si>
  <si>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</si>
  <si>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</si>
  <si>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>контейнерных площадок</t>
    </r>
  </si>
  <si>
    <t>по договору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</si>
  <si>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</si>
  <si>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</si>
  <si>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</si>
  <si>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</si>
  <si>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 xml:space="preserve">Директор ООО "ОЖКС № 6"                                                                         Л.И. Никашина                           </t>
  </si>
  <si>
    <t>результат
 за год
(+эконом., 
-перерасх.)</t>
  </si>
  <si>
    <t>ОТЧЕТ
за  2011 г. о выполненнии условий  договора управления МКД 
№ 75/6 от 28.03.2008 г., заключенного между ООО "ОЖКС №6" и собственниками многоквартирного дома
по адресу:  ул. Добровольского, 15</t>
  </si>
  <si>
    <t xml:space="preserve">                 Представитель собственников  - старший по дому _____________________________,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2011 году.  </t>
  </si>
  <si>
    <t xml:space="preserve">Финансовый результат за 2011г. (+ экономия,- перерасход)                                                      </t>
  </si>
  <si>
    <t>Старший по дому                                                                   ______________________________</t>
  </si>
  <si>
    <t>Смета
доходов и расходов  на  2012 г.
согласно договора управления МКД 
№75/6 от 28.03.2008 г., заключенного между ООО "ОЖКС №6" и собственниками многоквартирного дома
по адресу:  ул. Добровольского, 15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</si>
  <si>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</si>
  <si>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 xml:space="preserve"> Текущий ремонт общего имущества </t>
  </si>
  <si>
    <t xml:space="preserve">Капитальный ремонт  </t>
  </si>
  <si>
    <t xml:space="preserve">Директор ООО "ОЖКС № 6"                                                             Л.И. Никашина                           </t>
  </si>
  <si>
    <t>Расчет стоимости договора и тарифа 1 м2 на 2012г.</t>
  </si>
  <si>
    <t>Тариф с 1 сентября 2012 г. - 11,21 руб., капитальный ремонт - 0,80 руб.</t>
  </si>
  <si>
    <t>Тариф 
на 1 кв.м. сентябрь-декабрь 2012г.
руб.</t>
  </si>
  <si>
    <t>Стоимость работ
сентябрь-декабрь 2012г.             руб.</t>
  </si>
  <si>
    <t>5=гр.4*Sдома*4мес.</t>
  </si>
  <si>
    <t>1.1.</t>
  </si>
  <si>
    <r>
      <t xml:space="preserve">Сбор, вывоз  бытового мусора, содержание  </t>
    </r>
    <r>
      <rPr>
        <sz val="12"/>
        <rFont val="Times New Roman"/>
        <family val="1"/>
      </rPr>
      <t>контейнерных площадок</t>
    </r>
  </si>
  <si>
    <t>1.2.</t>
  </si>
  <si>
    <t>по плану работ</t>
  </si>
  <si>
    <t>1.3.</t>
  </si>
  <si>
    <t xml:space="preserve">Директор ООО "Октябрьский ЖКС № 6"                       </t>
  </si>
  <si>
    <t>Представитель Собственников</t>
  </si>
  <si>
    <t>_________________ Л.И.Никашина</t>
  </si>
  <si>
    <t>________________________</t>
  </si>
  <si>
    <t>подметание асфальта -   1 раз/неделю,                
подбор мусора - ежедневно</t>
  </si>
  <si>
    <t>* в случае уточнения площадей возможно изменение стоимости</t>
  </si>
  <si>
    <t>Приложение №7 к Договору                                                                       на оказание услуг и выполнение работ                                                           по содержанию, текущему и капитальному ремонту                                                                 общего имущества МКД № ____ от __________20__г.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</si>
  <si>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</si>
  <si>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</si>
  <si>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</si>
  <si>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</si>
  <si>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</si>
  <si>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</si>
  <si>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</si>
  <si>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</si>
  <si>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Управление  </t>
  </si>
  <si>
    <t xml:space="preserve"> Текущий ремонт общего имущества  </t>
  </si>
  <si>
    <t xml:space="preserve">Капитальный ремонт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</si>
  <si>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</si>
  <si>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</si>
  <si>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Смета доходов и расходов на  2013 г. 
согласно договора на оказание услуг МКД № 26/6 от 08.09.2012 г., 
заключенного между ООО "ОЖКС № 6"   
и собственниками многоквартирного дома
по адресу:  ул. Добровольского, 15</t>
  </si>
  <si>
    <t>Сумма 
с 01.09.12г.-31.12.12г., руб.</t>
  </si>
  <si>
    <t>кол-во мес по нов. дог-ру</t>
  </si>
  <si>
    <t xml:space="preserve">Финансовый результат с 01.09.12 - 31.12.12г. (+ экономия,- перерасход)                                                      </t>
  </si>
  <si>
    <t xml:space="preserve">Директор ООО "ОЖКС № 6"                                                     Л.И. Никашина                               </t>
  </si>
  <si>
    <t>Совет МКД                                           ________________________</t>
  </si>
  <si>
    <t>Претензий по обслуживанию нет (да)</t>
  </si>
  <si>
    <t>Исполнитель: Стыценкова И.А.</t>
  </si>
  <si>
    <t>Тариф 01.09.12г-31.12.12г.</t>
  </si>
  <si>
    <t>с 01.09.12г.</t>
  </si>
  <si>
    <t xml:space="preserve">Директор ООО "ОЖКС № 6"                                 </t>
  </si>
  <si>
    <t xml:space="preserve">____________ Л.И. Никашина                               </t>
  </si>
  <si>
    <t>Совет МКД</t>
  </si>
  <si>
    <t>_______________/___________/</t>
  </si>
  <si>
    <t>ОТЧЕТ
по  договору на оказания услуг МКД 
№ 26/6 от 08.09.12., заключенного между ООО "ОЖКС №6" и собственниками многоквартирного дома
по адресу:  ул. Добровольского, 15</t>
  </si>
  <si>
    <t>ОТЧЕТ
с 01.09.12г. по 31.12.12г. о выполненнии условий  договора на оказания услуг МКД 
№ 26/6 от 08.09.2012 г., заключенного между ООО "ОЖКС №6" и собственниками многоквартирного дома
по адресу:  ул. Добровольского, 15</t>
  </si>
  <si>
    <t xml:space="preserve">                 Совет МКД в лице _____________________________,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с 01.09.12г. по 31.12.12г.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</si>
</sst>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31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8" xfId="0" applyNumberFormat="1" applyFont="1" applyBorder="1" applyAlignment="1">
      <alignment horizontal="center"/>
    </xf>
    <xf numFmtId="16" fontId="0" fillId="0" borderId="18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64" fontId="7" fillId="0" borderId="13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0" fontId="2" fillId="0" borderId="25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164" fontId="5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vertical="center"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2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indent="1"/>
    </xf>
    <xf numFmtId="0" fontId="0" fillId="0" borderId="18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24" borderId="10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indent="1"/>
    </xf>
    <xf numFmtId="0" fontId="0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 horizontal="justify" vertical="center" wrapText="1" shrinkToFit="1"/>
    </xf>
    <xf numFmtId="0" fontId="2" fillId="0" borderId="1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5" fillId="0" borderId="34" xfId="0" applyNumberFormat="1" applyFont="1" applyBorder="1" applyAlignment="1">
      <alignment horizontal="justify" wrapText="1"/>
    </xf>
    <xf numFmtId="0" fontId="0" fillId="0" borderId="18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1"/>
  <sheetViews>
    <sheetView zoomScalePageLayoutView="0" workbookViewId="0" topLeftCell="A7">
      <selection activeCell="F27" sqref="F27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50390625" style="0" customWidth="1"/>
    <col min="5" max="5" width="12.875" style="0" customWidth="1"/>
  </cols>
  <sheetData>
    <row r="1" spans="1:4" ht="104.25" customHeight="1">
      <c r="A1" s="205" t="s">
        <v>93</v>
      </c>
      <c r="B1" s="206"/>
      <c r="C1" s="206"/>
      <c r="D1" s="206"/>
    </row>
    <row r="2" spans="1:5" ht="80.25" customHeight="1">
      <c r="A2" s="207" t="s">
        <v>94</v>
      </c>
      <c r="B2" s="208"/>
      <c r="C2" s="208"/>
      <c r="D2" s="208"/>
      <c r="E2" t="s">
        <v>80</v>
      </c>
    </row>
    <row r="3" spans="1:5" ht="32.25" customHeight="1">
      <c r="A3" s="22" t="s">
        <v>95</v>
      </c>
      <c r="B3" s="22" t="s">
        <v>96</v>
      </c>
      <c r="C3" s="11" t="s">
        <v>97</v>
      </c>
      <c r="D3" s="60" t="s">
        <v>98</v>
      </c>
      <c r="E3" s="62" t="s">
        <v>99</v>
      </c>
    </row>
    <row r="4" spans="1:5" ht="18.75" customHeight="1">
      <c r="A4" s="63" t="s">
        <v>100</v>
      </c>
      <c r="B4" s="64" t="s">
        <v>101</v>
      </c>
      <c r="C4" s="11" t="s">
        <v>102</v>
      </c>
      <c r="D4" s="65">
        <v>5</v>
      </c>
      <c r="E4" s="65">
        <v>5</v>
      </c>
    </row>
    <row r="5" spans="1:5" ht="15.75">
      <c r="A5" s="66" t="s">
        <v>103</v>
      </c>
      <c r="B5" s="67" t="s">
        <v>104</v>
      </c>
      <c r="C5" s="68" t="s">
        <v>105</v>
      </c>
      <c r="D5" s="69">
        <v>2794.3</v>
      </c>
      <c r="E5" s="69">
        <v>2794.3</v>
      </c>
    </row>
    <row r="6" spans="1:5" ht="14.25" customHeight="1">
      <c r="A6" s="66" t="s">
        <v>106</v>
      </c>
      <c r="B6" s="67" t="s">
        <v>107</v>
      </c>
      <c r="C6" s="68" t="s">
        <v>102</v>
      </c>
      <c r="D6" s="70">
        <v>60</v>
      </c>
      <c r="E6" s="70">
        <v>60</v>
      </c>
    </row>
    <row r="7" spans="1:5" ht="16.5" customHeight="1">
      <c r="A7" s="66" t="s">
        <v>108</v>
      </c>
      <c r="B7" s="67" t="s">
        <v>109</v>
      </c>
      <c r="C7" s="49"/>
      <c r="D7" s="69"/>
      <c r="E7" s="69"/>
    </row>
    <row r="8" spans="1:5" ht="15.75">
      <c r="A8" s="71" t="s">
        <v>110</v>
      </c>
      <c r="B8" s="67" t="s">
        <v>111</v>
      </c>
      <c r="C8" s="49"/>
      <c r="D8" s="69"/>
      <c r="E8" s="69"/>
    </row>
    <row r="9" spans="1:5" ht="17.25" customHeight="1">
      <c r="A9" s="72"/>
      <c r="B9" s="34" t="s">
        <v>112</v>
      </c>
      <c r="C9" s="49" t="s">
        <v>113</v>
      </c>
      <c r="D9" s="69">
        <v>194490.45</v>
      </c>
      <c r="E9" s="69">
        <v>194490.45</v>
      </c>
    </row>
    <row r="10" spans="1:5" ht="16.5" customHeight="1">
      <c r="A10" s="72"/>
      <c r="B10" s="34" t="s">
        <v>114</v>
      </c>
      <c r="C10" s="49" t="s">
        <v>113</v>
      </c>
      <c r="D10" s="69">
        <v>181333.49</v>
      </c>
      <c r="E10" s="69">
        <v>181333.49</v>
      </c>
    </row>
    <row r="11" spans="1:5" ht="15.75">
      <c r="A11" s="72"/>
      <c r="B11" s="67" t="s">
        <v>115</v>
      </c>
      <c r="C11" s="68" t="s">
        <v>113</v>
      </c>
      <c r="D11" s="73">
        <f>D9-D10</f>
        <v>13156.960000000021</v>
      </c>
      <c r="E11" s="73">
        <f>E9-E10</f>
        <v>13156.960000000021</v>
      </c>
    </row>
    <row r="12" spans="1:5" ht="18" customHeight="1">
      <c r="A12" s="71" t="s">
        <v>116</v>
      </c>
      <c r="B12" s="67" t="s">
        <v>117</v>
      </c>
      <c r="C12" s="49"/>
      <c r="D12" s="69"/>
      <c r="E12" s="69"/>
    </row>
    <row r="13" spans="1:5" ht="15.75">
      <c r="A13" s="72"/>
      <c r="B13" s="34" t="s">
        <v>112</v>
      </c>
      <c r="C13" s="49" t="s">
        <v>113</v>
      </c>
      <c r="D13" s="69">
        <v>10926.28</v>
      </c>
      <c r="E13" s="69"/>
    </row>
    <row r="14" spans="1:5" ht="15.75" customHeight="1">
      <c r="A14" s="72"/>
      <c r="B14" s="34" t="s">
        <v>114</v>
      </c>
      <c r="C14" s="49" t="s">
        <v>113</v>
      </c>
      <c r="D14" s="69">
        <v>10278.15</v>
      </c>
      <c r="E14" s="69"/>
    </row>
    <row r="15" spans="1:5" ht="15.75" customHeight="1">
      <c r="A15" s="72"/>
      <c r="B15" s="67" t="s">
        <v>115</v>
      </c>
      <c r="C15" s="68" t="s">
        <v>113</v>
      </c>
      <c r="D15" s="73">
        <f>D13-D14</f>
        <v>648.130000000001</v>
      </c>
      <c r="E15" s="73">
        <f>E13-E14</f>
        <v>0</v>
      </c>
    </row>
    <row r="16" spans="1:5" ht="15.75" customHeight="1">
      <c r="A16" s="71" t="s">
        <v>118</v>
      </c>
      <c r="B16" s="67" t="s">
        <v>119</v>
      </c>
      <c r="C16" s="49"/>
      <c r="D16" s="69"/>
      <c r="E16" s="69"/>
    </row>
    <row r="17" spans="1:5" ht="15.75" customHeight="1">
      <c r="A17" s="72"/>
      <c r="B17" s="34" t="s">
        <v>112</v>
      </c>
      <c r="C17" s="49" t="s">
        <v>113</v>
      </c>
      <c r="D17" s="69">
        <v>4189.56</v>
      </c>
      <c r="E17" s="69">
        <v>4189.56</v>
      </c>
    </row>
    <row r="18" spans="1:5" ht="15.75" customHeight="1">
      <c r="A18" s="72"/>
      <c r="B18" s="34" t="s">
        <v>114</v>
      </c>
      <c r="C18" s="49" t="s">
        <v>113</v>
      </c>
      <c r="D18" s="69">
        <v>3751.59</v>
      </c>
      <c r="E18" s="69">
        <v>3751.59</v>
      </c>
    </row>
    <row r="19" spans="1:5" ht="15.75" customHeight="1">
      <c r="A19" s="72"/>
      <c r="B19" s="67" t="s">
        <v>115</v>
      </c>
      <c r="C19" s="68" t="s">
        <v>113</v>
      </c>
      <c r="D19" s="73">
        <f>D17-D18</f>
        <v>437.97000000000025</v>
      </c>
      <c r="E19" s="73">
        <f>E17-E18</f>
        <v>437.97000000000025</v>
      </c>
    </row>
    <row r="20" spans="1:5" ht="15" customHeight="1">
      <c r="A20" s="72"/>
      <c r="B20" s="67" t="s">
        <v>120</v>
      </c>
      <c r="C20" s="49" t="s">
        <v>113</v>
      </c>
      <c r="D20" s="73">
        <f>D9+D13+D17</f>
        <v>209606.29</v>
      </c>
      <c r="E20" s="73">
        <f>E9+E13+E17</f>
        <v>198680.01</v>
      </c>
    </row>
    <row r="21" spans="1:5" ht="15.75">
      <c r="A21" s="72"/>
      <c r="B21" s="67" t="s">
        <v>121</v>
      </c>
      <c r="C21" s="49" t="s">
        <v>113</v>
      </c>
      <c r="D21" s="73">
        <f>D11+D15+D19</f>
        <v>14243.060000000023</v>
      </c>
      <c r="E21" s="73">
        <f>E11+E15+E19</f>
        <v>13594.930000000022</v>
      </c>
    </row>
    <row r="22" spans="1:5" ht="15.75" customHeight="1">
      <c r="A22" s="66" t="s">
        <v>122</v>
      </c>
      <c r="B22" s="74" t="s">
        <v>123</v>
      </c>
      <c r="C22" s="49"/>
      <c r="D22" s="69"/>
      <c r="E22" s="69"/>
    </row>
    <row r="23" spans="1:5" ht="94.5">
      <c r="A23" s="75" t="s">
        <v>124</v>
      </c>
      <c r="B23" s="76" t="s">
        <v>125</v>
      </c>
      <c r="C23" s="68" t="s">
        <v>113</v>
      </c>
      <c r="D23" s="73">
        <f>D9*0.11</f>
        <v>21393.949500000002</v>
      </c>
      <c r="E23" s="73">
        <f>E9*0.11</f>
        <v>21393.949500000002</v>
      </c>
    </row>
    <row r="24" spans="1:6" ht="94.5" customHeight="1">
      <c r="A24" s="75" t="s">
        <v>126</v>
      </c>
      <c r="B24" s="76" t="s">
        <v>127</v>
      </c>
      <c r="C24" s="68" t="s">
        <v>113</v>
      </c>
      <c r="D24" s="73">
        <f>D9*0.7</f>
        <v>136143.315</v>
      </c>
      <c r="E24" s="73">
        <f>E9*0.7</f>
        <v>136143.315</v>
      </c>
      <c r="F24" t="s">
        <v>80</v>
      </c>
    </row>
    <row r="25" spans="1:5" ht="19.5" customHeight="1">
      <c r="A25" s="75" t="s">
        <v>128</v>
      </c>
      <c r="B25" s="67" t="s">
        <v>129</v>
      </c>
      <c r="C25" s="68" t="s">
        <v>113</v>
      </c>
      <c r="D25" s="77">
        <v>34670</v>
      </c>
      <c r="E25" s="77">
        <v>34670</v>
      </c>
    </row>
    <row r="26" spans="1:5" ht="15.75" hidden="1">
      <c r="A26" s="78" t="s">
        <v>130</v>
      </c>
      <c r="B26" s="67" t="s">
        <v>131</v>
      </c>
      <c r="C26" s="68"/>
      <c r="D26" s="77">
        <v>0</v>
      </c>
      <c r="E26" s="77">
        <v>0</v>
      </c>
    </row>
    <row r="27" spans="1:6" ht="17.25" customHeight="1">
      <c r="A27" s="72"/>
      <c r="B27" s="67" t="s">
        <v>132</v>
      </c>
      <c r="C27" s="68" t="s">
        <v>113</v>
      </c>
      <c r="D27" s="73">
        <f>D23+D24+D25+D26</f>
        <v>192207.2645</v>
      </c>
      <c r="E27" s="73">
        <f>E23+E24+E25+E26</f>
        <v>192207.2645</v>
      </c>
      <c r="F27" s="115"/>
    </row>
    <row r="28" spans="1:5" ht="17.25" customHeight="1">
      <c r="A28" s="71" t="s">
        <v>62</v>
      </c>
      <c r="B28" s="67" t="s">
        <v>133</v>
      </c>
      <c r="C28" s="49" t="s">
        <v>113</v>
      </c>
      <c r="D28" s="69">
        <f>D20-D27</f>
        <v>17399.025500000018</v>
      </c>
      <c r="E28" s="69">
        <f>E20-E27</f>
        <v>6472.745500000019</v>
      </c>
    </row>
    <row r="29" spans="1:5" ht="31.5">
      <c r="A29" s="75" t="s">
        <v>134</v>
      </c>
      <c r="B29" s="76" t="s">
        <v>135</v>
      </c>
      <c r="C29" s="49" t="s">
        <v>113</v>
      </c>
      <c r="D29" s="69">
        <f>D28-D21</f>
        <v>3155.965499999995</v>
      </c>
      <c r="E29" s="69">
        <f>E28-E21</f>
        <v>-7122.184500000003</v>
      </c>
    </row>
    <row r="30" spans="1:4" ht="15.75">
      <c r="A30" s="79"/>
      <c r="B30" s="80"/>
      <c r="C30" s="81"/>
      <c r="D30" s="82"/>
    </row>
    <row r="31" spans="2:4" ht="15.75">
      <c r="B31" s="83" t="s">
        <v>78</v>
      </c>
      <c r="C31" s="83"/>
      <c r="D31" s="83"/>
    </row>
    <row r="32" spans="2:4" ht="15.75">
      <c r="B32" s="83" t="s">
        <v>80</v>
      </c>
      <c r="C32" s="83"/>
      <c r="D32" s="83"/>
    </row>
    <row r="33" spans="2:4" ht="15.75">
      <c r="B33" s="84" t="s">
        <v>79</v>
      </c>
      <c r="C33" s="84"/>
      <c r="D33" s="84" t="s">
        <v>80</v>
      </c>
    </row>
    <row r="34" spans="2:4" ht="15.75">
      <c r="B34" s="209" t="s">
        <v>85</v>
      </c>
      <c r="C34" s="209"/>
      <c r="D34" s="84"/>
    </row>
    <row r="35" spans="2:4" ht="17.25" customHeight="1">
      <c r="B35" s="210" t="s">
        <v>136</v>
      </c>
      <c r="C35" s="210"/>
      <c r="D35" s="210"/>
    </row>
    <row r="38" ht="15.75">
      <c r="B38" t="s">
        <v>80</v>
      </c>
    </row>
    <row r="41" ht="15.75">
      <c r="B41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S21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2.125" style="176" bestFit="1" customWidth="1"/>
    <col min="2" max="2" width="10.75390625" style="176" customWidth="1"/>
    <col min="3" max="3" width="12.625" style="176" bestFit="1" customWidth="1"/>
    <col min="4" max="4" width="9.875" style="176" bestFit="1" customWidth="1"/>
    <col min="5" max="6" width="12.625" style="176" bestFit="1" customWidth="1"/>
    <col min="7" max="7" width="9.875" style="176" bestFit="1" customWidth="1"/>
    <col min="8" max="8" width="12.625" style="176" bestFit="1" customWidth="1"/>
    <col min="9" max="9" width="11.625" style="176" customWidth="1"/>
    <col min="10" max="10" width="7.125" style="176" bestFit="1" customWidth="1"/>
    <col min="11" max="11" width="9.00390625" style="176" customWidth="1"/>
    <col min="12" max="12" width="11.875" style="176" bestFit="1" customWidth="1"/>
    <col min="13" max="13" width="12.625" style="176" bestFit="1" customWidth="1"/>
    <col min="14" max="14" width="9.875" style="176" bestFit="1" customWidth="1"/>
    <col min="15" max="15" width="11.375" style="176" bestFit="1" customWidth="1"/>
    <col min="16" max="16" width="11.00390625" style="176" bestFit="1" customWidth="1"/>
    <col min="17" max="17" width="8.50390625" style="176" bestFit="1" customWidth="1"/>
    <col min="18" max="18" width="12.625" style="176" bestFit="1" customWidth="1"/>
    <col min="19" max="19" width="12.875" style="176" customWidth="1"/>
    <col min="20" max="16384" width="9.00390625" style="176" customWidth="1"/>
  </cols>
  <sheetData>
    <row r="1" spans="1:19" ht="109.5" customHeight="1" thickBot="1">
      <c r="A1" s="297" t="s">
        <v>255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</row>
    <row r="2" spans="1:19" ht="15.75" customHeight="1">
      <c r="A2" s="298" t="s">
        <v>162</v>
      </c>
      <c r="B2" s="300" t="s">
        <v>163</v>
      </c>
      <c r="C2" s="300" t="s">
        <v>164</v>
      </c>
      <c r="D2" s="300"/>
      <c r="E2" s="300"/>
      <c r="F2" s="300"/>
      <c r="G2" s="300"/>
      <c r="H2" s="300"/>
      <c r="I2" s="300"/>
      <c r="J2" s="302" t="s">
        <v>165</v>
      </c>
      <c r="K2" s="302"/>
      <c r="L2" s="302"/>
      <c r="M2" s="303" t="s">
        <v>166</v>
      </c>
      <c r="N2" s="300" t="s">
        <v>167</v>
      </c>
      <c r="O2" s="300"/>
      <c r="P2" s="300"/>
      <c r="Q2" s="300"/>
      <c r="R2" s="300"/>
      <c r="S2" s="307" t="s">
        <v>201</v>
      </c>
    </row>
    <row r="3" spans="1:19" ht="15.75">
      <c r="A3" s="299"/>
      <c r="B3" s="301"/>
      <c r="C3" s="309" t="s">
        <v>168</v>
      </c>
      <c r="D3" s="310"/>
      <c r="E3" s="311"/>
      <c r="F3" s="309" t="s">
        <v>169</v>
      </c>
      <c r="G3" s="310"/>
      <c r="H3" s="311"/>
      <c r="I3" s="306" t="s">
        <v>170</v>
      </c>
      <c r="J3" s="312" t="s">
        <v>171</v>
      </c>
      <c r="K3" s="314" t="s">
        <v>172</v>
      </c>
      <c r="L3" s="312" t="s">
        <v>173</v>
      </c>
      <c r="M3" s="304"/>
      <c r="N3" s="306" t="s">
        <v>174</v>
      </c>
      <c r="O3" s="301" t="s">
        <v>175</v>
      </c>
      <c r="P3" s="301" t="s">
        <v>176</v>
      </c>
      <c r="Q3" s="301" t="s">
        <v>177</v>
      </c>
      <c r="R3" s="301" t="s">
        <v>178</v>
      </c>
      <c r="S3" s="308"/>
    </row>
    <row r="4" spans="1:19" ht="47.25" customHeight="1">
      <c r="A4" s="299"/>
      <c r="B4" s="301"/>
      <c r="C4" s="179" t="s">
        <v>179</v>
      </c>
      <c r="D4" s="178" t="s">
        <v>177</v>
      </c>
      <c r="E4" s="178" t="s">
        <v>178</v>
      </c>
      <c r="F4" s="179" t="s">
        <v>179</v>
      </c>
      <c r="G4" s="178" t="s">
        <v>177</v>
      </c>
      <c r="H4" s="178" t="s">
        <v>178</v>
      </c>
      <c r="I4" s="306"/>
      <c r="J4" s="313"/>
      <c r="K4" s="305"/>
      <c r="L4" s="313"/>
      <c r="M4" s="305"/>
      <c r="N4" s="301"/>
      <c r="O4" s="301"/>
      <c r="P4" s="301"/>
      <c r="Q4" s="301"/>
      <c r="R4" s="301"/>
      <c r="S4" s="308"/>
    </row>
    <row r="5" spans="1:19" ht="31.5">
      <c r="A5" s="177">
        <v>1</v>
      </c>
      <c r="B5" s="178">
        <v>2</v>
      </c>
      <c r="C5" s="179">
        <v>3</v>
      </c>
      <c r="D5" s="178">
        <v>4</v>
      </c>
      <c r="E5" s="178" t="s">
        <v>180</v>
      </c>
      <c r="F5" s="179">
        <v>6</v>
      </c>
      <c r="G5" s="178">
        <v>7</v>
      </c>
      <c r="H5" s="178" t="s">
        <v>181</v>
      </c>
      <c r="I5" s="179" t="s">
        <v>182</v>
      </c>
      <c r="J5" s="178">
        <v>10</v>
      </c>
      <c r="K5" s="178">
        <v>11</v>
      </c>
      <c r="L5" s="179">
        <v>12</v>
      </c>
      <c r="M5" s="179" t="s">
        <v>183</v>
      </c>
      <c r="N5" s="178">
        <v>14</v>
      </c>
      <c r="O5" s="179">
        <v>15</v>
      </c>
      <c r="P5" s="178">
        <v>16</v>
      </c>
      <c r="Q5" s="178">
        <v>17</v>
      </c>
      <c r="R5" s="179" t="s">
        <v>184</v>
      </c>
      <c r="S5" s="180" t="s">
        <v>185</v>
      </c>
    </row>
    <row r="6" spans="1:19" ht="15.75">
      <c r="A6" s="181">
        <v>-872438.65</v>
      </c>
      <c r="B6" s="182" t="s">
        <v>250</v>
      </c>
      <c r="C6" s="183">
        <v>117902.2</v>
      </c>
      <c r="D6" s="183">
        <v>6758.72</v>
      </c>
      <c r="E6" s="183">
        <f>C6+D6</f>
        <v>124660.92</v>
      </c>
      <c r="F6" s="183">
        <f>'отчет12г (09-12)'!H10</f>
        <v>126002.09</v>
      </c>
      <c r="G6" s="183">
        <f>'отчет12г (09-12)'!H11</f>
        <v>7499.77</v>
      </c>
      <c r="H6" s="183">
        <f>SUM(F6:G6)</f>
        <v>133501.86</v>
      </c>
      <c r="I6" s="184">
        <f>E6-H6</f>
        <v>-8840.939999999988</v>
      </c>
      <c r="J6" s="183">
        <v>0</v>
      </c>
      <c r="K6" s="183">
        <v>0</v>
      </c>
      <c r="L6" s="183">
        <v>0</v>
      </c>
      <c r="M6" s="183">
        <f>H6+J6+K6+L6</f>
        <v>133501.86</v>
      </c>
      <c r="N6" s="183">
        <f>'отчет12г (09-12)'!J29</f>
        <v>12084.35</v>
      </c>
      <c r="O6" s="183">
        <f>'отчет12г (09-12)'!J31-'отчет12г (09-12)'!J29</f>
        <v>96868.17000000001</v>
      </c>
      <c r="P6" s="183">
        <f>'отчет12г (09-12)'!H35</f>
        <v>0</v>
      </c>
      <c r="Q6" s="184">
        <f>'отчет12г (09-12)'!H37</f>
        <v>0</v>
      </c>
      <c r="R6" s="183">
        <f>SUM(N6:Q6)</f>
        <v>108952.52000000002</v>
      </c>
      <c r="S6" s="185">
        <f>M6-R6</f>
        <v>24549.339999999967</v>
      </c>
    </row>
    <row r="7" spans="1:19" ht="15.75">
      <c r="A7" s="181"/>
      <c r="B7" s="182"/>
      <c r="C7" s="183"/>
      <c r="D7" s="183"/>
      <c r="E7" s="183">
        <f>SUM(C7:D7)</f>
        <v>0</v>
      </c>
      <c r="F7" s="183"/>
      <c r="G7" s="183"/>
      <c r="H7" s="183">
        <f>SUM(F7:G7)</f>
        <v>0</v>
      </c>
      <c r="I7" s="184">
        <f>E7-H7</f>
        <v>0</v>
      </c>
      <c r="J7" s="183">
        <v>0</v>
      </c>
      <c r="K7" s="183">
        <v>0</v>
      </c>
      <c r="L7" s="183">
        <v>0</v>
      </c>
      <c r="M7" s="183">
        <f>H7+J7+K7+L7</f>
        <v>0</v>
      </c>
      <c r="N7" s="183"/>
      <c r="O7" s="183"/>
      <c r="P7" s="183"/>
      <c r="Q7" s="184">
        <v>0</v>
      </c>
      <c r="R7" s="183">
        <f>SUM(N7:Q7)</f>
        <v>0</v>
      </c>
      <c r="S7" s="185">
        <f>M7-R7</f>
        <v>0</v>
      </c>
    </row>
    <row r="8" spans="1:19" ht="15.75">
      <c r="A8" s="181"/>
      <c r="B8" s="182"/>
      <c r="C8" s="183"/>
      <c r="D8" s="183"/>
      <c r="E8" s="183">
        <f>SUM(C8:D8)</f>
        <v>0</v>
      </c>
      <c r="F8" s="183"/>
      <c r="G8" s="183"/>
      <c r="H8" s="183">
        <f>SUM(F8:G8)</f>
        <v>0</v>
      </c>
      <c r="I8" s="184">
        <f>E8-H8</f>
        <v>0</v>
      </c>
      <c r="J8" s="183">
        <v>0</v>
      </c>
      <c r="K8" s="183">
        <v>0</v>
      </c>
      <c r="L8" s="183">
        <v>0</v>
      </c>
      <c r="M8" s="183">
        <f>H8+J8+K8+L8</f>
        <v>0</v>
      </c>
      <c r="N8" s="183"/>
      <c r="O8" s="183"/>
      <c r="P8" s="183"/>
      <c r="Q8" s="184">
        <v>0</v>
      </c>
      <c r="R8" s="183">
        <f>SUM(N8:Q8)</f>
        <v>0</v>
      </c>
      <c r="S8" s="185">
        <f>M8-R8</f>
        <v>0</v>
      </c>
    </row>
    <row r="9" spans="1:19" ht="15.75">
      <c r="A9" s="181"/>
      <c r="B9" s="182"/>
      <c r="C9" s="183"/>
      <c r="D9" s="183"/>
      <c r="E9" s="183">
        <f>SUM(C9:D9)</f>
        <v>0</v>
      </c>
      <c r="F9" s="183"/>
      <c r="G9" s="183"/>
      <c r="H9" s="183">
        <f>SUM(F9:G9)</f>
        <v>0</v>
      </c>
      <c r="I9" s="184">
        <f>E9-H9</f>
        <v>0</v>
      </c>
      <c r="J9" s="183">
        <f>'[1]отчет 2011'!I12</f>
        <v>0</v>
      </c>
      <c r="K9" s="183">
        <f>'[1]отчет 2011'!I13</f>
        <v>0</v>
      </c>
      <c r="L9" s="183">
        <f>'[1]отчет 2011'!H13</f>
        <v>0</v>
      </c>
      <c r="M9" s="183">
        <f>H9+J9+K9+L9</f>
        <v>0</v>
      </c>
      <c r="N9" s="183"/>
      <c r="O9" s="183"/>
      <c r="P9" s="183"/>
      <c r="Q9" s="184">
        <v>0</v>
      </c>
      <c r="R9" s="183">
        <f>SUM(N9:Q9)</f>
        <v>0</v>
      </c>
      <c r="S9" s="185">
        <f>M9-R9</f>
        <v>0</v>
      </c>
    </row>
    <row r="10" spans="1:19" ht="15.75">
      <c r="A10" s="181"/>
      <c r="B10" s="182"/>
      <c r="C10" s="183"/>
      <c r="D10" s="183"/>
      <c r="E10" s="183">
        <f>SUM(C10:D10)</f>
        <v>0</v>
      </c>
      <c r="F10" s="183"/>
      <c r="G10" s="183"/>
      <c r="H10" s="183">
        <f>SUM(F10:G10)</f>
        <v>0</v>
      </c>
      <c r="I10" s="184">
        <f>E10-H10</f>
        <v>0</v>
      </c>
      <c r="J10" s="183">
        <v>0</v>
      </c>
      <c r="K10" s="183">
        <v>0</v>
      </c>
      <c r="L10" s="183">
        <v>0</v>
      </c>
      <c r="M10" s="183">
        <f>H10+J10+K10+L10</f>
        <v>0</v>
      </c>
      <c r="N10" s="183"/>
      <c r="O10" s="183"/>
      <c r="P10" s="183"/>
      <c r="Q10" s="184">
        <v>0</v>
      </c>
      <c r="R10" s="183">
        <f>SUM(N10:Q10)</f>
        <v>0</v>
      </c>
      <c r="S10" s="185">
        <f>M10-R10</f>
        <v>0</v>
      </c>
    </row>
    <row r="11" spans="1:19" ht="16.5" thickBot="1">
      <c r="A11" s="186"/>
      <c r="B11" s="187" t="s">
        <v>186</v>
      </c>
      <c r="C11" s="188">
        <f aca="true" t="shared" si="0" ref="C11:R11">SUM(C6:C10)</f>
        <v>117902.2</v>
      </c>
      <c r="D11" s="188">
        <f t="shared" si="0"/>
        <v>6758.72</v>
      </c>
      <c r="E11" s="188">
        <f t="shared" si="0"/>
        <v>124660.92</v>
      </c>
      <c r="F11" s="188">
        <f t="shared" si="0"/>
        <v>126002.09</v>
      </c>
      <c r="G11" s="188">
        <f t="shared" si="0"/>
        <v>7499.77</v>
      </c>
      <c r="H11" s="188">
        <f t="shared" si="0"/>
        <v>133501.86</v>
      </c>
      <c r="I11" s="188">
        <f t="shared" si="0"/>
        <v>-8840.939999999988</v>
      </c>
      <c r="J11" s="188">
        <f t="shared" si="0"/>
        <v>0</v>
      </c>
      <c r="K11" s="188">
        <f t="shared" si="0"/>
        <v>0</v>
      </c>
      <c r="L11" s="188">
        <f t="shared" si="0"/>
        <v>0</v>
      </c>
      <c r="M11" s="188">
        <f t="shared" si="0"/>
        <v>133501.86</v>
      </c>
      <c r="N11" s="188">
        <f t="shared" si="0"/>
        <v>12084.35</v>
      </c>
      <c r="O11" s="188">
        <f t="shared" si="0"/>
        <v>96868.17000000001</v>
      </c>
      <c r="P11" s="188">
        <f t="shared" si="0"/>
        <v>0</v>
      </c>
      <c r="Q11" s="188">
        <f t="shared" si="0"/>
        <v>0</v>
      </c>
      <c r="R11" s="188">
        <f t="shared" si="0"/>
        <v>108952.52000000002</v>
      </c>
      <c r="S11" s="189">
        <f>A6+SUM(S6:S10)</f>
        <v>-847889.31</v>
      </c>
    </row>
    <row r="14" spans="15:19" ht="16.5">
      <c r="O14" s="190"/>
      <c r="P14" s="190"/>
      <c r="Q14" s="190"/>
      <c r="R14" s="190"/>
      <c r="S14" s="191"/>
    </row>
    <row r="15" spans="15:19" ht="16.5">
      <c r="O15" s="190"/>
      <c r="P15" s="190"/>
      <c r="Q15" s="190"/>
      <c r="R15" s="190"/>
      <c r="S15" s="190"/>
    </row>
    <row r="16" spans="2:9" s="192" customFormat="1" ht="18.75">
      <c r="B16" s="296" t="s">
        <v>251</v>
      </c>
      <c r="C16" s="296"/>
      <c r="D16" s="296"/>
      <c r="E16" s="296"/>
      <c r="F16" s="296" t="s">
        <v>252</v>
      </c>
      <c r="G16" s="296"/>
      <c r="H16" s="296"/>
      <c r="I16" s="296"/>
    </row>
    <row r="17" s="192" customFormat="1" ht="18.75"/>
    <row r="19" spans="2:8" ht="29.25" customHeight="1">
      <c r="B19" s="193" t="s">
        <v>253</v>
      </c>
      <c r="F19" s="296" t="s">
        <v>254</v>
      </c>
      <c r="G19" s="296"/>
      <c r="H19" s="296"/>
    </row>
    <row r="21" ht="15.75">
      <c r="A21" s="176" t="s">
        <v>248</v>
      </c>
    </row>
  </sheetData>
  <sheetProtection/>
  <mergeCells count="22">
    <mergeCell ref="S2:S4"/>
    <mergeCell ref="C3:E3"/>
    <mergeCell ref="F3:H3"/>
    <mergeCell ref="I3:I4"/>
    <mergeCell ref="J3:J4"/>
    <mergeCell ref="K3:K4"/>
    <mergeCell ref="L3:L4"/>
    <mergeCell ref="R3:R4"/>
    <mergeCell ref="B16:E16"/>
    <mergeCell ref="F16:I16"/>
    <mergeCell ref="P3:P4"/>
    <mergeCell ref="Q3:Q4"/>
    <mergeCell ref="F19:H19"/>
    <mergeCell ref="A1:S1"/>
    <mergeCell ref="A2:A4"/>
    <mergeCell ref="B2:B4"/>
    <mergeCell ref="C2:I2"/>
    <mergeCell ref="J2:L2"/>
    <mergeCell ref="M2:M4"/>
    <mergeCell ref="N2:R2"/>
    <mergeCell ref="N3:N4"/>
    <mergeCell ref="O3:O4"/>
  </mergeCells>
  <printOptions/>
  <pageMargins left="0" right="0" top="0.984251968503937" bottom="0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46"/>
  <sheetViews>
    <sheetView zoomScalePageLayoutView="0" workbookViewId="0" topLeftCell="A1">
      <selection activeCell="A3" sqref="A3:IV6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101.25" customHeight="1">
      <c r="A1" s="205" t="s">
        <v>187</v>
      </c>
      <c r="B1" s="205"/>
      <c r="C1" s="205"/>
      <c r="D1" s="205"/>
      <c r="E1" s="205"/>
      <c r="F1" s="205"/>
      <c r="G1" s="205"/>
      <c r="H1" s="205"/>
    </row>
    <row r="2" spans="1:8" ht="61.5" customHeight="1">
      <c r="A2" s="194" t="s">
        <v>84</v>
      </c>
      <c r="B2" s="194"/>
      <c r="C2" s="194"/>
      <c r="D2" s="194"/>
      <c r="E2" s="194"/>
      <c r="F2" s="194"/>
      <c r="G2" s="194"/>
      <c r="H2" s="194"/>
    </row>
    <row r="3" spans="1:6" ht="18.75">
      <c r="A3" s="1" t="s">
        <v>82</v>
      </c>
      <c r="B3" s="1" t="s">
        <v>83</v>
      </c>
      <c r="C3" s="2"/>
      <c r="D3" s="2" t="s">
        <v>0</v>
      </c>
      <c r="E3" s="26">
        <v>2704.3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7.25">
      <c r="A7" s="21" t="s">
        <v>61</v>
      </c>
      <c r="B7" s="195"/>
      <c r="C7" s="195"/>
      <c r="D7" s="195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196" t="s">
        <v>65</v>
      </c>
      <c r="C8" s="197"/>
      <c r="D8" s="197"/>
      <c r="E8" s="197"/>
      <c r="F8" s="216"/>
      <c r="G8" s="15"/>
      <c r="H8" s="16"/>
    </row>
    <row r="9" spans="1:8" ht="15.75">
      <c r="A9" s="22"/>
      <c r="B9" s="212" t="s">
        <v>66</v>
      </c>
      <c r="C9" s="212"/>
      <c r="D9" s="212"/>
      <c r="E9" s="212"/>
      <c r="F9" s="212"/>
      <c r="G9" s="15"/>
      <c r="H9" s="30">
        <v>24315.45</v>
      </c>
    </row>
    <row r="10" spans="1:8" ht="15.75">
      <c r="A10" s="22">
        <v>1</v>
      </c>
      <c r="B10" s="211" t="s">
        <v>63</v>
      </c>
      <c r="C10" s="211"/>
      <c r="D10" s="211"/>
      <c r="E10" s="211"/>
      <c r="F10" s="211"/>
      <c r="G10" s="15"/>
      <c r="H10" s="34">
        <v>284390.01</v>
      </c>
    </row>
    <row r="11" spans="1:8" ht="15.75">
      <c r="A11" s="22"/>
      <c r="B11" s="211" t="s">
        <v>67</v>
      </c>
      <c r="C11" s="211"/>
      <c r="D11" s="211"/>
      <c r="E11" s="211"/>
      <c r="F11" s="211"/>
      <c r="G11" s="15"/>
      <c r="H11" s="41">
        <f>H10*0.9</f>
        <v>255951.00900000002</v>
      </c>
    </row>
    <row r="12" spans="1:8" ht="15.75" customHeight="1">
      <c r="A12" s="22"/>
      <c r="B12" s="211" t="s">
        <v>68</v>
      </c>
      <c r="C12" s="211"/>
      <c r="D12" s="211"/>
      <c r="E12" s="211"/>
      <c r="F12" s="211"/>
      <c r="G12" s="15"/>
      <c r="H12" s="41">
        <f>H10-H11</f>
        <v>28439.00099999999</v>
      </c>
    </row>
    <row r="13" spans="1:8" ht="15.75" customHeight="1">
      <c r="A13" s="22">
        <v>2</v>
      </c>
      <c r="B13" s="211" t="s">
        <v>64</v>
      </c>
      <c r="C13" s="211"/>
      <c r="D13" s="211"/>
      <c r="E13" s="211"/>
      <c r="F13" s="211"/>
      <c r="G13" s="15"/>
      <c r="H13" s="34">
        <v>271377.6</v>
      </c>
    </row>
    <row r="14" spans="1:8" ht="15.75" customHeight="1">
      <c r="A14" s="22">
        <v>3</v>
      </c>
      <c r="B14" s="211" t="s">
        <v>69</v>
      </c>
      <c r="C14" s="211"/>
      <c r="D14" s="211"/>
      <c r="E14" s="211"/>
      <c r="F14" s="211"/>
      <c r="G14" s="15"/>
      <c r="H14" s="41">
        <f>H10-H13</f>
        <v>13012.410000000033</v>
      </c>
    </row>
    <row r="15" spans="1:8" ht="15.75" customHeight="1">
      <c r="A15" s="22">
        <v>4</v>
      </c>
      <c r="B15" s="212" t="s">
        <v>70</v>
      </c>
      <c r="C15" s="212"/>
      <c r="D15" s="212"/>
      <c r="E15" s="212"/>
      <c r="F15" s="212"/>
      <c r="G15" s="15"/>
      <c r="H15" s="42">
        <f>H9+H10-H13</f>
        <v>37327.860000000044</v>
      </c>
    </row>
    <row r="16" spans="1:8" ht="18.75">
      <c r="A16" s="22">
        <v>5</v>
      </c>
      <c r="B16" s="213" t="s">
        <v>74</v>
      </c>
      <c r="C16" s="213"/>
      <c r="D16" s="213"/>
      <c r="E16" s="213"/>
      <c r="F16" s="213"/>
      <c r="G16" s="17"/>
      <c r="H16" s="43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44"/>
    </row>
    <row r="18" spans="1:8" ht="31.5">
      <c r="A18" s="28" t="s">
        <v>41</v>
      </c>
      <c r="B18" s="214" t="s">
        <v>18</v>
      </c>
      <c r="C18" s="214"/>
      <c r="D18" s="214"/>
      <c r="E18" s="6" t="s">
        <v>32</v>
      </c>
      <c r="F18" s="6" t="s">
        <v>24</v>
      </c>
      <c r="G18" s="12">
        <v>0.9</v>
      </c>
      <c r="H18" s="45">
        <f>ROUND(G18*$E$3*12,2)</f>
        <v>29206.44</v>
      </c>
    </row>
    <row r="19" spans="1:8" ht="15.75">
      <c r="A19" s="29" t="s">
        <v>42</v>
      </c>
      <c r="B19" s="214" t="s">
        <v>17</v>
      </c>
      <c r="C19" s="214"/>
      <c r="D19" s="214"/>
      <c r="E19" s="6" t="s">
        <v>32</v>
      </c>
      <c r="F19" s="6" t="s">
        <v>19</v>
      </c>
      <c r="G19" s="12">
        <v>0.26</v>
      </c>
      <c r="H19" s="45">
        <f aca="true" t="shared" si="0" ref="H19:H31">ROUND(G19*$E$3*12,2)</f>
        <v>8437.42</v>
      </c>
    </row>
    <row r="20" spans="1:8" ht="15.75">
      <c r="A20" s="28" t="s">
        <v>43</v>
      </c>
      <c r="B20" s="215" t="s">
        <v>23</v>
      </c>
      <c r="C20" s="215"/>
      <c r="D20" s="215"/>
      <c r="E20" s="7" t="s">
        <v>8</v>
      </c>
      <c r="F20" s="7" t="s">
        <v>20</v>
      </c>
      <c r="G20" s="12">
        <v>0.32</v>
      </c>
      <c r="H20" s="45">
        <f t="shared" si="0"/>
        <v>10384.51</v>
      </c>
    </row>
    <row r="21" spans="1:8" ht="33" customHeight="1">
      <c r="A21" s="29" t="s">
        <v>44</v>
      </c>
      <c r="B21" s="204" t="s">
        <v>31</v>
      </c>
      <c r="C21" s="204"/>
      <c r="D21" s="204"/>
      <c r="E21" s="8" t="s">
        <v>9</v>
      </c>
      <c r="F21" s="8" t="s">
        <v>10</v>
      </c>
      <c r="G21" s="12">
        <v>0.46</v>
      </c>
      <c r="H21" s="45">
        <f t="shared" si="0"/>
        <v>14927.74</v>
      </c>
    </row>
    <row r="22" spans="1:8" ht="63">
      <c r="A22" s="28" t="s">
        <v>47</v>
      </c>
      <c r="B22" s="215" t="s">
        <v>27</v>
      </c>
      <c r="C22" s="215"/>
      <c r="D22" s="215"/>
      <c r="E22" s="7" t="s">
        <v>34</v>
      </c>
      <c r="F22" s="7" t="s">
        <v>25</v>
      </c>
      <c r="G22" s="12">
        <v>0.11</v>
      </c>
      <c r="H22" s="45">
        <f t="shared" si="0"/>
        <v>3569.68</v>
      </c>
    </row>
    <row r="23" spans="1:8" ht="31.5">
      <c r="A23" s="29" t="s">
        <v>45</v>
      </c>
      <c r="B23" s="215" t="s">
        <v>11</v>
      </c>
      <c r="C23" s="215"/>
      <c r="D23" s="215"/>
      <c r="E23" s="7" t="s">
        <v>9</v>
      </c>
      <c r="F23" s="7" t="s">
        <v>12</v>
      </c>
      <c r="G23" s="12">
        <v>0</v>
      </c>
      <c r="H23" s="45">
        <f t="shared" si="0"/>
        <v>0</v>
      </c>
    </row>
    <row r="24" spans="1:8" ht="15.75">
      <c r="A24" s="28" t="s">
        <v>46</v>
      </c>
      <c r="B24" s="215" t="s">
        <v>26</v>
      </c>
      <c r="C24" s="198"/>
      <c r="D24" s="198"/>
      <c r="E24" s="9" t="s">
        <v>13</v>
      </c>
      <c r="F24" s="9" t="s">
        <v>14</v>
      </c>
      <c r="G24" s="12">
        <v>0.04</v>
      </c>
      <c r="H24" s="45">
        <f t="shared" si="0"/>
        <v>1298.06</v>
      </c>
    </row>
    <row r="25" spans="1:8" ht="36.75" customHeight="1">
      <c r="A25" s="29" t="s">
        <v>48</v>
      </c>
      <c r="B25" s="199" t="s">
        <v>77</v>
      </c>
      <c r="C25" s="200"/>
      <c r="D25" s="201"/>
      <c r="E25" s="9" t="s">
        <v>13</v>
      </c>
      <c r="F25" s="39" t="s">
        <v>81</v>
      </c>
      <c r="G25" s="12">
        <v>0.22</v>
      </c>
      <c r="H25" s="45">
        <f t="shared" si="0"/>
        <v>7139.35</v>
      </c>
    </row>
    <row r="26" spans="1:8" ht="31.5">
      <c r="A26" s="28" t="s">
        <v>49</v>
      </c>
      <c r="B26" s="215" t="s">
        <v>35</v>
      </c>
      <c r="C26" s="215"/>
      <c r="D26" s="215"/>
      <c r="E26" s="6" t="s">
        <v>36</v>
      </c>
      <c r="F26" s="40" t="s">
        <v>81</v>
      </c>
      <c r="G26" s="12">
        <v>2.5</v>
      </c>
      <c r="H26" s="45">
        <f t="shared" si="0"/>
        <v>81129</v>
      </c>
    </row>
    <row r="27" spans="1:8" ht="31.5">
      <c r="A27" s="29" t="s">
        <v>50</v>
      </c>
      <c r="B27" s="214" t="s">
        <v>15</v>
      </c>
      <c r="C27" s="214"/>
      <c r="D27" s="214"/>
      <c r="E27" s="6" t="s">
        <v>36</v>
      </c>
      <c r="F27" s="40" t="s">
        <v>81</v>
      </c>
      <c r="G27" s="12">
        <v>0.38</v>
      </c>
      <c r="H27" s="45">
        <f t="shared" si="0"/>
        <v>12331.61</v>
      </c>
    </row>
    <row r="28" spans="1:8" ht="31.5">
      <c r="A28" s="28" t="s">
        <v>51</v>
      </c>
      <c r="B28" s="202" t="s">
        <v>37</v>
      </c>
      <c r="C28" s="203"/>
      <c r="D28" s="203"/>
      <c r="E28" s="6" t="s">
        <v>36</v>
      </c>
      <c r="F28" s="40" t="s">
        <v>81</v>
      </c>
      <c r="G28" s="36">
        <f>1.82-G29-G30</f>
        <v>1.82</v>
      </c>
      <c r="H28" s="45">
        <f t="shared" si="0"/>
        <v>59061.91</v>
      </c>
    </row>
    <row r="29" spans="1:8" ht="31.5">
      <c r="A29" s="29" t="s">
        <v>52</v>
      </c>
      <c r="B29" s="215" t="s">
        <v>28</v>
      </c>
      <c r="C29" s="215"/>
      <c r="D29" s="215"/>
      <c r="E29" s="6" t="s">
        <v>36</v>
      </c>
      <c r="F29" s="40" t="s">
        <v>81</v>
      </c>
      <c r="G29" s="13">
        <v>0</v>
      </c>
      <c r="H29" s="45">
        <f t="shared" si="0"/>
        <v>0</v>
      </c>
    </row>
    <row r="30" spans="1:8" ht="31.5">
      <c r="A30" s="28" t="s">
        <v>53</v>
      </c>
      <c r="B30" s="215" t="s">
        <v>29</v>
      </c>
      <c r="C30" s="215"/>
      <c r="D30" s="215"/>
      <c r="E30" s="6" t="s">
        <v>36</v>
      </c>
      <c r="F30" s="40" t="s">
        <v>81</v>
      </c>
      <c r="G30" s="13">
        <v>0</v>
      </c>
      <c r="H30" s="45">
        <f t="shared" si="0"/>
        <v>0</v>
      </c>
    </row>
    <row r="31" spans="1:8" ht="31.5">
      <c r="A31" s="29" t="s">
        <v>54</v>
      </c>
      <c r="B31" s="198" t="s">
        <v>21</v>
      </c>
      <c r="C31" s="198"/>
      <c r="D31" s="198"/>
      <c r="E31" s="6" t="s">
        <v>36</v>
      </c>
      <c r="F31" s="40" t="s">
        <v>81</v>
      </c>
      <c r="G31" s="9">
        <v>0.88</v>
      </c>
      <c r="H31" s="45">
        <f t="shared" si="0"/>
        <v>28557.41</v>
      </c>
    </row>
    <row r="32" spans="1:8" ht="15.75">
      <c r="A32" s="22" t="s">
        <v>55</v>
      </c>
      <c r="B32" s="223" t="s">
        <v>30</v>
      </c>
      <c r="C32" s="223"/>
      <c r="D32" s="223"/>
      <c r="E32" s="14"/>
      <c r="F32" s="40"/>
      <c r="G32" s="20">
        <f>SUM(G18:G31)</f>
        <v>7.890000000000001</v>
      </c>
      <c r="H32" s="46">
        <f>SUM(H18:H31)</f>
        <v>256043.13</v>
      </c>
    </row>
    <row r="33" spans="1:8" ht="15.75">
      <c r="A33" s="22" t="s">
        <v>56</v>
      </c>
      <c r="B33" s="212" t="s">
        <v>38</v>
      </c>
      <c r="C33" s="198"/>
      <c r="D33" s="198"/>
      <c r="E33" s="14"/>
      <c r="F33" s="40" t="s">
        <v>81</v>
      </c>
      <c r="G33" s="23">
        <f>H33/E3/12</f>
        <v>0.6070578954504554</v>
      </c>
      <c r="H33" s="24">
        <v>19700</v>
      </c>
    </row>
    <row r="34" spans="1:8" ht="18.75">
      <c r="A34" s="25" t="s">
        <v>57</v>
      </c>
      <c r="B34" s="224" t="s">
        <v>76</v>
      </c>
      <c r="C34" s="224"/>
      <c r="D34" s="224"/>
      <c r="E34" s="224"/>
      <c r="F34" s="224"/>
      <c r="G34" s="20">
        <f>SUM(G32:G33)</f>
        <v>8.497057895450457</v>
      </c>
      <c r="H34" s="47">
        <f>SUM(H32:H33)</f>
        <v>275743.13</v>
      </c>
    </row>
    <row r="35" spans="1:8" ht="18.75">
      <c r="A35" s="22" t="s">
        <v>62</v>
      </c>
      <c r="B35" s="220" t="s">
        <v>39</v>
      </c>
      <c r="C35" s="221"/>
      <c r="D35" s="221"/>
      <c r="E35" s="221"/>
      <c r="F35" s="221"/>
      <c r="G35" s="222"/>
      <c r="H35" s="31"/>
    </row>
    <row r="36" spans="1:8" ht="15.75" customHeight="1">
      <c r="A36" s="22" t="s">
        <v>58</v>
      </c>
      <c r="B36" s="217" t="s">
        <v>71</v>
      </c>
      <c r="C36" s="218"/>
      <c r="D36" s="218"/>
      <c r="E36" s="218"/>
      <c r="F36" s="218"/>
      <c r="G36" s="219"/>
      <c r="H36" s="32">
        <v>-7122.18</v>
      </c>
    </row>
    <row r="37" spans="1:8" ht="15.75" customHeight="1">
      <c r="A37" s="22" t="s">
        <v>59</v>
      </c>
      <c r="B37" s="217" t="s">
        <v>72</v>
      </c>
      <c r="C37" s="218"/>
      <c r="D37" s="218"/>
      <c r="E37" s="218"/>
      <c r="F37" s="218"/>
      <c r="G37" s="219"/>
      <c r="H37" s="48">
        <f>H13-H34</f>
        <v>-4365.530000000028</v>
      </c>
    </row>
    <row r="38" spans="1:8" ht="15.75" customHeight="1">
      <c r="A38" s="22" t="s">
        <v>60</v>
      </c>
      <c r="B38" s="217" t="s">
        <v>73</v>
      </c>
      <c r="C38" s="218"/>
      <c r="D38" s="218"/>
      <c r="E38" s="218"/>
      <c r="F38" s="218"/>
      <c r="G38" s="219"/>
      <c r="H38" s="48">
        <f>H36+H37</f>
        <v>-11487.710000000028</v>
      </c>
    </row>
    <row r="39" spans="2:6" ht="19.5" customHeight="1">
      <c r="B39" s="33"/>
      <c r="F39" s="33"/>
    </row>
    <row r="40" spans="2:6" ht="15.75">
      <c r="B40" s="33"/>
      <c r="C40" s="33"/>
      <c r="D40" s="33"/>
      <c r="E40" s="33"/>
      <c r="F40" s="33"/>
    </row>
    <row r="42" spans="2:5" ht="15.75">
      <c r="B42" s="33" t="s">
        <v>78</v>
      </c>
      <c r="C42" s="33"/>
      <c r="D42" s="33"/>
      <c r="E42" s="33"/>
    </row>
    <row r="43" spans="2:4" ht="15.75">
      <c r="B43" s="33"/>
      <c r="C43" s="33"/>
      <c r="D43" s="33"/>
    </row>
    <row r="44" spans="2:4" ht="15.75">
      <c r="B44" s="37" t="s">
        <v>79</v>
      </c>
      <c r="C44" s="37"/>
      <c r="D44" s="37" t="s">
        <v>80</v>
      </c>
    </row>
    <row r="45" spans="2:4" ht="15.75">
      <c r="B45" s="38" t="s">
        <v>85</v>
      </c>
      <c r="C45" s="38"/>
      <c r="D45" s="37"/>
    </row>
    <row r="46" spans="2:4" ht="15.75" customHeight="1">
      <c r="B46" s="210" t="s">
        <v>86</v>
      </c>
      <c r="C46" s="210"/>
      <c r="D46" s="210"/>
    </row>
  </sheetData>
  <sheetProtection/>
  <mergeCells count="34">
    <mergeCell ref="B38:G38"/>
    <mergeCell ref="B35:G35"/>
    <mergeCell ref="B31:D31"/>
    <mergeCell ref="B32:D32"/>
    <mergeCell ref="B33:D33"/>
    <mergeCell ref="B34:F34"/>
    <mergeCell ref="B36:G36"/>
    <mergeCell ref="B37:G37"/>
    <mergeCell ref="A1:H1"/>
    <mergeCell ref="A2:H2"/>
    <mergeCell ref="B7:D7"/>
    <mergeCell ref="B12:F12"/>
    <mergeCell ref="B8:F8"/>
    <mergeCell ref="B9:F9"/>
    <mergeCell ref="B10:F10"/>
    <mergeCell ref="B11:F11"/>
    <mergeCell ref="B29:D29"/>
    <mergeCell ref="B30:D30"/>
    <mergeCell ref="B21:D21"/>
    <mergeCell ref="B22:D22"/>
    <mergeCell ref="B23:D23"/>
    <mergeCell ref="B24:D24"/>
    <mergeCell ref="B25:D25"/>
    <mergeCell ref="B26:D26"/>
    <mergeCell ref="B46:D46"/>
    <mergeCell ref="B13:F13"/>
    <mergeCell ref="B14:F14"/>
    <mergeCell ref="B15:F15"/>
    <mergeCell ref="B16:F16"/>
    <mergeCell ref="B18:D18"/>
    <mergeCell ref="B19:D19"/>
    <mergeCell ref="B20:D20"/>
    <mergeCell ref="B27:D27"/>
    <mergeCell ref="B28:D28"/>
  </mergeCells>
  <printOptions/>
  <pageMargins left="0.54" right="0.31" top="0.5" bottom="0.25" header="0.5" footer="0.1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45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5.125" style="0" customWidth="1"/>
    <col min="3" max="3" width="3.75390625" style="0" customWidth="1"/>
    <col min="4" max="4" width="22.875" style="0" customWidth="1"/>
    <col min="5" max="5" width="18.125" style="0" customWidth="1"/>
    <col min="6" max="6" width="0.12890625" style="0" hidden="1" customWidth="1"/>
    <col min="7" max="7" width="9.375" style="0" hidden="1" customWidth="1"/>
    <col min="8" max="8" width="11.625" style="0" bestFit="1" customWidth="1"/>
    <col min="9" max="9" width="11.75390625" style="0" bestFit="1" customWidth="1"/>
    <col min="10" max="10" width="11.625" style="0" bestFit="1" customWidth="1"/>
  </cols>
  <sheetData>
    <row r="1" spans="1:10" ht="110.25" customHeight="1">
      <c r="A1" s="205" t="s">
        <v>188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54" customHeight="1">
      <c r="A2" s="225" t="s">
        <v>189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6" ht="18.75">
      <c r="A3" s="1"/>
      <c r="B3" s="1" t="s">
        <v>83</v>
      </c>
      <c r="C3" s="2"/>
      <c r="D3" s="2" t="s">
        <v>0</v>
      </c>
      <c r="E3" s="26">
        <v>2704.3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0" ht="39" customHeight="1">
      <c r="A7" s="21" t="s">
        <v>61</v>
      </c>
      <c r="B7" s="226" t="s">
        <v>137</v>
      </c>
      <c r="C7" s="227"/>
      <c r="D7" s="228"/>
      <c r="E7" s="11" t="s">
        <v>6</v>
      </c>
      <c r="F7" s="11" t="s">
        <v>7</v>
      </c>
      <c r="G7" s="86" t="s">
        <v>22</v>
      </c>
      <c r="H7" s="229" t="s">
        <v>138</v>
      </c>
      <c r="I7" s="230"/>
      <c r="J7" s="231"/>
    </row>
    <row r="8" spans="1:10" ht="15.75">
      <c r="A8" s="22">
        <v>1</v>
      </c>
      <c r="B8" s="196"/>
      <c r="C8" s="197"/>
      <c r="D8" s="197"/>
      <c r="E8" s="197"/>
      <c r="F8" s="216"/>
      <c r="G8" s="87"/>
      <c r="H8" s="88" t="s">
        <v>139</v>
      </c>
      <c r="I8" s="89" t="s">
        <v>140</v>
      </c>
      <c r="J8" s="89" t="s">
        <v>141</v>
      </c>
    </row>
    <row r="9" spans="1:10" ht="15.75">
      <c r="A9" s="22"/>
      <c r="B9" s="196" t="s">
        <v>142</v>
      </c>
      <c r="C9" s="197"/>
      <c r="D9" s="197"/>
      <c r="E9" s="197"/>
      <c r="F9" s="216"/>
      <c r="G9" s="90"/>
      <c r="H9" s="90"/>
      <c r="I9" s="68"/>
      <c r="J9" s="89"/>
    </row>
    <row r="10" spans="1:10" ht="15.75">
      <c r="A10" s="91"/>
      <c r="B10" s="211" t="s">
        <v>143</v>
      </c>
      <c r="C10" s="211"/>
      <c r="D10" s="211"/>
      <c r="E10" s="211"/>
      <c r="F10" s="211"/>
      <c r="G10" s="15"/>
      <c r="H10" s="92">
        <v>283820.52</v>
      </c>
      <c r="I10" s="53"/>
      <c r="J10" s="93">
        <f>H10+I10</f>
        <v>283820.52</v>
      </c>
    </row>
    <row r="11" spans="1:10" ht="15.75">
      <c r="A11" s="91"/>
      <c r="B11" s="211" t="s">
        <v>144</v>
      </c>
      <c r="C11" s="211"/>
      <c r="D11" s="211"/>
      <c r="E11" s="211"/>
      <c r="F11" s="211"/>
      <c r="G11" s="15"/>
      <c r="H11" s="16">
        <v>15857.59</v>
      </c>
      <c r="I11" s="53"/>
      <c r="J11" s="93">
        <f>H11+I11</f>
        <v>15857.59</v>
      </c>
    </row>
    <row r="12" spans="1:10" ht="15.75">
      <c r="A12" s="22"/>
      <c r="B12" s="211" t="s">
        <v>145</v>
      </c>
      <c r="C12" s="211"/>
      <c r="D12" s="211"/>
      <c r="E12" s="211"/>
      <c r="F12" s="211"/>
      <c r="G12" s="15"/>
      <c r="H12" s="92"/>
      <c r="I12" s="53"/>
      <c r="J12" s="93">
        <f>H12+I12</f>
        <v>0</v>
      </c>
    </row>
    <row r="13" spans="1:10" ht="15.75">
      <c r="A13" s="22"/>
      <c r="B13" s="211" t="s">
        <v>146</v>
      </c>
      <c r="C13" s="211"/>
      <c r="D13" s="211"/>
      <c r="E13" s="211"/>
      <c r="F13" s="211"/>
      <c r="G13" s="15"/>
      <c r="H13" s="92"/>
      <c r="I13" s="94"/>
      <c r="J13" s="93">
        <f>H13+I13</f>
        <v>0</v>
      </c>
    </row>
    <row r="14" spans="1:10" ht="15.75">
      <c r="A14" s="22"/>
      <c r="B14" s="212" t="s">
        <v>147</v>
      </c>
      <c r="C14" s="212"/>
      <c r="D14" s="212"/>
      <c r="E14" s="212"/>
      <c r="F14" s="212"/>
      <c r="G14" s="15"/>
      <c r="H14" s="42">
        <f>SUM(H10:H12)</f>
        <v>299678.11000000004</v>
      </c>
      <c r="I14" s="95">
        <f>SUM(I10:I12)</f>
        <v>0</v>
      </c>
      <c r="J14" s="42">
        <f>SUM(J10:J13)</f>
        <v>299678.11000000004</v>
      </c>
    </row>
    <row r="15" spans="1:10" ht="18.75">
      <c r="A15" s="22">
        <v>2</v>
      </c>
      <c r="B15" s="213" t="s">
        <v>74</v>
      </c>
      <c r="C15" s="213"/>
      <c r="D15" s="213"/>
      <c r="E15" s="213"/>
      <c r="F15" s="213"/>
      <c r="G15" s="15"/>
      <c r="H15" s="92"/>
      <c r="I15" s="53"/>
      <c r="J15" s="34"/>
    </row>
    <row r="16" spans="1:10" ht="15.75">
      <c r="A16" s="22" t="s">
        <v>148</v>
      </c>
      <c r="B16" s="18" t="s">
        <v>75</v>
      </c>
      <c r="C16" s="18"/>
      <c r="D16" s="18"/>
      <c r="E16" s="18"/>
      <c r="F16" s="5"/>
      <c r="G16" s="88"/>
      <c r="H16" s="88"/>
      <c r="I16" s="85"/>
      <c r="J16" s="89"/>
    </row>
    <row r="17" spans="1:10" ht="33" customHeight="1">
      <c r="A17" s="96"/>
      <c r="B17" s="238" t="s">
        <v>90</v>
      </c>
      <c r="C17" s="238"/>
      <c r="D17" s="238"/>
      <c r="E17" s="97" t="s">
        <v>32</v>
      </c>
      <c r="F17" s="56" t="s">
        <v>24</v>
      </c>
      <c r="G17" s="57">
        <v>0.92</v>
      </c>
      <c r="H17" s="98">
        <f>ROUND(G17*$E$3*12,2)</f>
        <v>29855.47</v>
      </c>
      <c r="I17" s="99">
        <f>$I$12*0.08</f>
        <v>0</v>
      </c>
      <c r="J17" s="100">
        <f>SUM(H17:I17)</f>
        <v>29855.47</v>
      </c>
    </row>
    <row r="18" spans="1:10" ht="17.25" customHeight="1">
      <c r="A18" s="22"/>
      <c r="B18" s="239" t="s">
        <v>17</v>
      </c>
      <c r="C18" s="239"/>
      <c r="D18" s="239"/>
      <c r="E18" s="97" t="s">
        <v>32</v>
      </c>
      <c r="F18" s="56" t="s">
        <v>19</v>
      </c>
      <c r="G18" s="57">
        <v>0.26</v>
      </c>
      <c r="H18" s="98">
        <f>ROUND(G18*$E$3*12,2)</f>
        <v>8437.42</v>
      </c>
      <c r="I18" s="99">
        <f>$I$12*0.02</f>
        <v>0</v>
      </c>
      <c r="J18" s="100">
        <f aca="true" t="shared" si="0" ref="J18:J37">SUM(H18:I18)</f>
        <v>8437.42</v>
      </c>
    </row>
    <row r="19" spans="1:10" ht="20.25" customHeight="1">
      <c r="A19" s="22"/>
      <c r="B19" s="240" t="s">
        <v>23</v>
      </c>
      <c r="C19" s="240"/>
      <c r="D19" s="240"/>
      <c r="E19" s="101" t="s">
        <v>149</v>
      </c>
      <c r="F19" s="58" t="s">
        <v>20</v>
      </c>
      <c r="G19" s="57">
        <v>0.35</v>
      </c>
      <c r="H19" s="98">
        <f>J19-I19</f>
        <v>12656.5</v>
      </c>
      <c r="I19" s="99">
        <f>$I$12*0.07</f>
        <v>0</v>
      </c>
      <c r="J19" s="102">
        <v>12656.5</v>
      </c>
    </row>
    <row r="20" spans="1:10" ht="20.25" customHeight="1">
      <c r="A20" s="96"/>
      <c r="B20" s="238" t="s">
        <v>31</v>
      </c>
      <c r="C20" s="238"/>
      <c r="D20" s="238"/>
      <c r="E20" s="103" t="s">
        <v>9</v>
      </c>
      <c r="F20" s="59" t="s">
        <v>10</v>
      </c>
      <c r="G20" s="57">
        <v>0.46</v>
      </c>
      <c r="H20" s="98">
        <f>ROUND(G20*$E$3*12,2)</f>
        <v>14927.74</v>
      </c>
      <c r="I20" s="99">
        <f>$I$12*0.04</f>
        <v>0</v>
      </c>
      <c r="J20" s="100">
        <f t="shared" si="0"/>
        <v>14927.74</v>
      </c>
    </row>
    <row r="21" spans="1:10" ht="60.75" customHeight="1">
      <c r="A21" s="22"/>
      <c r="B21" s="240" t="s">
        <v>27</v>
      </c>
      <c r="C21" s="240"/>
      <c r="D21" s="240"/>
      <c r="E21" s="101" t="s">
        <v>150</v>
      </c>
      <c r="F21" s="58" t="s">
        <v>25</v>
      </c>
      <c r="G21" s="57">
        <v>0.11</v>
      </c>
      <c r="H21" s="98">
        <f>J21-I21</f>
        <v>3329.49</v>
      </c>
      <c r="I21" s="99">
        <f>$I$12*0.01</f>
        <v>0</v>
      </c>
      <c r="J21" s="102">
        <v>3329.49</v>
      </c>
    </row>
    <row r="22" spans="1:10" ht="20.25" customHeight="1">
      <c r="A22" s="96"/>
      <c r="B22" s="240" t="s">
        <v>11</v>
      </c>
      <c r="C22" s="240"/>
      <c r="D22" s="240"/>
      <c r="E22" s="101" t="s">
        <v>9</v>
      </c>
      <c r="F22" s="58" t="s">
        <v>12</v>
      </c>
      <c r="G22" s="57">
        <v>0</v>
      </c>
      <c r="H22" s="98">
        <f>J22-I22</f>
        <v>0</v>
      </c>
      <c r="I22" s="99">
        <f>$I$12*0.15</f>
        <v>0</v>
      </c>
      <c r="J22" s="102">
        <f>G22*E3*12</f>
        <v>0</v>
      </c>
    </row>
    <row r="23" spans="1:10" ht="20.25" customHeight="1">
      <c r="A23" s="96"/>
      <c r="B23" s="240" t="s">
        <v>26</v>
      </c>
      <c r="C23" s="241"/>
      <c r="D23" s="241"/>
      <c r="E23" s="104" t="s">
        <v>13</v>
      </c>
      <c r="F23" s="55" t="s">
        <v>14</v>
      </c>
      <c r="G23" s="57">
        <v>0.04</v>
      </c>
      <c r="H23" s="98">
        <f>J23-I23</f>
        <v>3278.4</v>
      </c>
      <c r="I23" s="99">
        <f>$I$12*0.003</f>
        <v>0</v>
      </c>
      <c r="J23" s="102">
        <v>3278.4</v>
      </c>
    </row>
    <row r="24" spans="1:10" ht="28.5" customHeight="1">
      <c r="A24" s="22"/>
      <c r="B24" s="240" t="s">
        <v>151</v>
      </c>
      <c r="C24" s="240"/>
      <c r="D24" s="240"/>
      <c r="E24" s="97" t="s">
        <v>36</v>
      </c>
      <c r="F24" s="40" t="s">
        <v>81</v>
      </c>
      <c r="G24" s="57">
        <v>1.87</v>
      </c>
      <c r="H24" s="98">
        <f aca="true" t="shared" si="1" ref="H24:H29">ROUND(G24*$E$3*12,2)</f>
        <v>60684.49</v>
      </c>
      <c r="I24" s="99">
        <f>$I$12*0.19</f>
        <v>0</v>
      </c>
      <c r="J24" s="100">
        <f t="shared" si="0"/>
        <v>60684.49</v>
      </c>
    </row>
    <row r="25" spans="1:10" ht="26.25" customHeight="1">
      <c r="A25" s="22"/>
      <c r="B25" s="239" t="s">
        <v>15</v>
      </c>
      <c r="C25" s="239"/>
      <c r="D25" s="239"/>
      <c r="E25" s="97" t="s">
        <v>36</v>
      </c>
      <c r="F25" s="40" t="s">
        <v>81</v>
      </c>
      <c r="G25" s="57">
        <v>0.38</v>
      </c>
      <c r="H25" s="105">
        <f>ROUND(G25*$E$3/8*7*12,2)</f>
        <v>10790.16</v>
      </c>
      <c r="I25" s="99">
        <v>0</v>
      </c>
      <c r="J25" s="100">
        <f t="shared" si="0"/>
        <v>10790.16</v>
      </c>
    </row>
    <row r="26" spans="1:10" ht="30" customHeight="1">
      <c r="A26" s="22"/>
      <c r="B26" s="217" t="s">
        <v>37</v>
      </c>
      <c r="C26" s="233"/>
      <c r="D26" s="234"/>
      <c r="E26" s="97" t="s">
        <v>36</v>
      </c>
      <c r="F26" s="40" t="s">
        <v>81</v>
      </c>
      <c r="G26" s="36">
        <f>2.97-G27-G28</f>
        <v>2.97</v>
      </c>
      <c r="H26" s="105">
        <f t="shared" si="1"/>
        <v>96381.25</v>
      </c>
      <c r="I26" s="106">
        <f>$I$12*0.22</f>
        <v>0</v>
      </c>
      <c r="J26" s="100">
        <f t="shared" si="0"/>
        <v>96381.25</v>
      </c>
    </row>
    <row r="27" spans="1:10" ht="26.25" customHeight="1">
      <c r="A27" s="96"/>
      <c r="B27" s="240" t="s">
        <v>152</v>
      </c>
      <c r="C27" s="240"/>
      <c r="D27" s="240"/>
      <c r="E27" s="97" t="s">
        <v>36</v>
      </c>
      <c r="F27" s="40" t="s">
        <v>81</v>
      </c>
      <c r="G27" s="36">
        <v>0</v>
      </c>
      <c r="H27" s="105">
        <f t="shared" si="1"/>
        <v>0</v>
      </c>
      <c r="I27" s="106"/>
      <c r="J27" s="100">
        <f t="shared" si="0"/>
        <v>0</v>
      </c>
    </row>
    <row r="28" spans="1:10" ht="17.25" customHeight="1">
      <c r="A28" s="22"/>
      <c r="B28" s="240" t="s">
        <v>153</v>
      </c>
      <c r="C28" s="240"/>
      <c r="D28" s="240"/>
      <c r="E28" s="101" t="s">
        <v>9</v>
      </c>
      <c r="F28" s="40" t="s">
        <v>81</v>
      </c>
      <c r="G28" s="36">
        <v>0</v>
      </c>
      <c r="H28" s="105">
        <f t="shared" si="1"/>
        <v>0</v>
      </c>
      <c r="I28" s="106"/>
      <c r="J28" s="100">
        <f t="shared" si="0"/>
        <v>0</v>
      </c>
    </row>
    <row r="29" spans="1:10" ht="17.25" customHeight="1">
      <c r="A29" s="22"/>
      <c r="B29" s="241" t="s">
        <v>21</v>
      </c>
      <c r="C29" s="241"/>
      <c r="D29" s="241"/>
      <c r="E29" s="101" t="s">
        <v>9</v>
      </c>
      <c r="F29" s="40" t="s">
        <v>81</v>
      </c>
      <c r="G29" s="55">
        <v>0.92</v>
      </c>
      <c r="H29" s="98">
        <f t="shared" si="1"/>
        <v>29855.47</v>
      </c>
      <c r="I29" s="99">
        <f>$I$12*0.1</f>
        <v>0</v>
      </c>
      <c r="J29" s="100">
        <f t="shared" si="0"/>
        <v>29855.47</v>
      </c>
    </row>
    <row r="30" spans="1:10" ht="21.75" customHeight="1">
      <c r="A30" s="22"/>
      <c r="B30" s="232" t="s">
        <v>154</v>
      </c>
      <c r="C30" s="233"/>
      <c r="D30" s="234"/>
      <c r="E30" s="101" t="s">
        <v>9</v>
      </c>
      <c r="F30" s="40"/>
      <c r="G30" s="55"/>
      <c r="H30" s="105"/>
      <c r="I30" s="94"/>
      <c r="J30" s="107"/>
    </row>
    <row r="31" spans="1:10" ht="27.75" customHeight="1">
      <c r="A31" s="22"/>
      <c r="B31" s="232" t="s">
        <v>155</v>
      </c>
      <c r="C31" s="233"/>
      <c r="D31" s="234"/>
      <c r="E31" s="97" t="s">
        <v>36</v>
      </c>
      <c r="F31" s="40"/>
      <c r="G31" s="55"/>
      <c r="H31" s="105"/>
      <c r="I31" s="94"/>
      <c r="J31" s="107"/>
    </row>
    <row r="32" spans="1:10" ht="15.75">
      <c r="A32" s="22"/>
      <c r="B32" s="235"/>
      <c r="C32" s="236"/>
      <c r="D32" s="237"/>
      <c r="E32" s="101"/>
      <c r="F32" s="40"/>
      <c r="G32" s="55"/>
      <c r="H32" s="105"/>
      <c r="I32" s="94"/>
      <c r="J32" s="107"/>
    </row>
    <row r="33" spans="1:10" ht="15.75">
      <c r="A33" s="22"/>
      <c r="B33" s="235"/>
      <c r="C33" s="236"/>
      <c r="D33" s="237"/>
      <c r="E33" s="101"/>
      <c r="F33" s="40"/>
      <c r="G33" s="55"/>
      <c r="H33" s="105"/>
      <c r="I33" s="94"/>
      <c r="J33" s="107"/>
    </row>
    <row r="34" spans="1:10" ht="15.75">
      <c r="A34" s="22"/>
      <c r="B34" s="223" t="s">
        <v>30</v>
      </c>
      <c r="C34" s="223"/>
      <c r="D34" s="223"/>
      <c r="E34" s="14"/>
      <c r="F34" s="40"/>
      <c r="G34" s="20">
        <f>SUM(G17:G29)</f>
        <v>8.28</v>
      </c>
      <c r="H34" s="46">
        <f>SUM(H17:H33)</f>
        <v>270196.39</v>
      </c>
      <c r="I34" s="108">
        <f>SUM(I17:I33)</f>
        <v>0</v>
      </c>
      <c r="J34" s="46">
        <f>SUM(J17:J33)</f>
        <v>270196.39</v>
      </c>
    </row>
    <row r="35" spans="1:10" ht="15" customHeight="1">
      <c r="A35" s="22" t="s">
        <v>156</v>
      </c>
      <c r="B35" s="245" t="s">
        <v>157</v>
      </c>
      <c r="C35" s="246"/>
      <c r="D35" s="246"/>
      <c r="E35" s="247"/>
      <c r="F35" s="40" t="s">
        <v>81</v>
      </c>
      <c r="G35" s="23">
        <f>H35/E3/12</f>
        <v>1.6122471619273009</v>
      </c>
      <c r="H35" s="109">
        <v>52320</v>
      </c>
      <c r="I35" s="110">
        <v>0</v>
      </c>
      <c r="J35" s="42">
        <f t="shared" si="0"/>
        <v>52320</v>
      </c>
    </row>
    <row r="36" spans="1:10" ht="14.25" customHeight="1">
      <c r="A36" s="25"/>
      <c r="B36" s="243" t="s">
        <v>76</v>
      </c>
      <c r="C36" s="243"/>
      <c r="D36" s="243"/>
      <c r="E36" s="243"/>
      <c r="F36" s="243"/>
      <c r="G36" s="20">
        <f>SUM(G34:G35)</f>
        <v>9.892247161927301</v>
      </c>
      <c r="H36" s="47">
        <f>SUM(H34:H35)</f>
        <v>322516.39</v>
      </c>
      <c r="I36" s="111">
        <f>SUM(I34:I35)</f>
        <v>0</v>
      </c>
      <c r="J36" s="47">
        <f>SUM(J34:J35)</f>
        <v>322516.39</v>
      </c>
    </row>
    <row r="37" spans="1:10" ht="15.75">
      <c r="A37" s="22" t="s">
        <v>158</v>
      </c>
      <c r="B37" s="242" t="s">
        <v>159</v>
      </c>
      <c r="C37" s="242"/>
      <c r="D37" s="242"/>
      <c r="E37" s="242"/>
      <c r="F37" s="242"/>
      <c r="G37" s="23"/>
      <c r="H37" s="112"/>
      <c r="I37" s="112">
        <v>0</v>
      </c>
      <c r="J37" s="113">
        <f t="shared" si="0"/>
        <v>0</v>
      </c>
    </row>
    <row r="38" spans="1:10" ht="24.75" customHeight="1">
      <c r="A38" s="25"/>
      <c r="B38" s="243" t="s">
        <v>160</v>
      </c>
      <c r="C38" s="243"/>
      <c r="D38" s="243"/>
      <c r="E38" s="243"/>
      <c r="F38" s="243"/>
      <c r="G38" s="20">
        <f>SUM(G36:G37)</f>
        <v>9.892247161927301</v>
      </c>
      <c r="H38" s="47">
        <f>SUM(H36:H37)</f>
        <v>322516.39</v>
      </c>
      <c r="I38" s="111">
        <f>SUM(I36:I37)</f>
        <v>0</v>
      </c>
      <c r="J38" s="47">
        <f>SUM(J36:J37)</f>
        <v>322516.39</v>
      </c>
    </row>
    <row r="39" spans="1:10" ht="27" customHeight="1">
      <c r="A39" s="22">
        <v>3</v>
      </c>
      <c r="B39" s="217" t="s">
        <v>161</v>
      </c>
      <c r="C39" s="218"/>
      <c r="D39" s="218"/>
      <c r="E39" s="218"/>
      <c r="F39" s="218"/>
      <c r="G39" s="219"/>
      <c r="H39" s="98">
        <f>H14-H38</f>
        <v>-22838.27999999997</v>
      </c>
      <c r="I39" s="98">
        <f>I14-I38</f>
        <v>0</v>
      </c>
      <c r="J39" s="114">
        <f>J14-J38</f>
        <v>-22838.27999999997</v>
      </c>
    </row>
    <row r="40" spans="2:6" ht="15.75">
      <c r="B40" s="33"/>
      <c r="F40" s="33"/>
    </row>
    <row r="41" spans="2:9" ht="36" customHeight="1">
      <c r="B41" s="244" t="s">
        <v>190</v>
      </c>
      <c r="C41" s="244"/>
      <c r="D41" s="244"/>
      <c r="E41" s="244"/>
      <c r="F41" s="244"/>
      <c r="G41" s="244"/>
      <c r="H41" s="244"/>
      <c r="I41" s="244"/>
    </row>
    <row r="42" spans="2:4" ht="25.5" customHeight="1">
      <c r="B42" s="33"/>
      <c r="C42" s="33"/>
      <c r="D42" s="33"/>
    </row>
    <row r="43" spans="2:4" ht="15.75">
      <c r="B43" s="37" t="s">
        <v>79</v>
      </c>
      <c r="C43" s="37"/>
      <c r="D43" s="37"/>
    </row>
    <row r="44" spans="2:4" ht="15.75">
      <c r="B44" s="38" t="s">
        <v>85</v>
      </c>
      <c r="C44" s="38"/>
      <c r="D44" s="37"/>
    </row>
    <row r="45" spans="2:4" ht="15.75" customHeight="1">
      <c r="B45" s="210" t="s">
        <v>86</v>
      </c>
      <c r="C45" s="210"/>
      <c r="D45" s="210"/>
    </row>
  </sheetData>
  <sheetProtection/>
  <mergeCells count="37">
    <mergeCell ref="B33:D33"/>
    <mergeCell ref="B34:D34"/>
    <mergeCell ref="B45:D45"/>
    <mergeCell ref="B37:F37"/>
    <mergeCell ref="B38:F38"/>
    <mergeCell ref="B39:G39"/>
    <mergeCell ref="B41:I41"/>
    <mergeCell ref="B35:E35"/>
    <mergeCell ref="B36:F36"/>
    <mergeCell ref="B27:D27"/>
    <mergeCell ref="B28:D28"/>
    <mergeCell ref="B29:D29"/>
    <mergeCell ref="B30:D30"/>
    <mergeCell ref="B23:D23"/>
    <mergeCell ref="B24:D24"/>
    <mergeCell ref="B25:D25"/>
    <mergeCell ref="B26:D26"/>
    <mergeCell ref="B12:F12"/>
    <mergeCell ref="B13:F13"/>
    <mergeCell ref="B31:D31"/>
    <mergeCell ref="B32:D32"/>
    <mergeCell ref="B17:D17"/>
    <mergeCell ref="B18:D18"/>
    <mergeCell ref="B19:D19"/>
    <mergeCell ref="B20:D20"/>
    <mergeCell ref="B21:D21"/>
    <mergeCell ref="B22:D22"/>
    <mergeCell ref="B14:F14"/>
    <mergeCell ref="B15:F15"/>
    <mergeCell ref="A1:J1"/>
    <mergeCell ref="A2:J2"/>
    <mergeCell ref="B7:D7"/>
    <mergeCell ref="H7:J7"/>
    <mergeCell ref="B8:F8"/>
    <mergeCell ref="B9:F9"/>
    <mergeCell ref="B10:F10"/>
    <mergeCell ref="B11:F11"/>
  </mergeCells>
  <printOptions/>
  <pageMargins left="0.7874015748031497" right="0" top="0" bottom="0" header="0.5118110236220472" footer="0.511811023622047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3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7.875" style="0" customWidth="1"/>
    <col min="6" max="6" width="18.00390625" style="0" hidden="1" customWidth="1"/>
    <col min="7" max="7" width="3.00390625" style="0" hidden="1" customWidth="1"/>
    <col min="8" max="8" width="13.25390625" style="0" customWidth="1"/>
  </cols>
  <sheetData>
    <row r="1" spans="1:8" ht="101.25" customHeight="1">
      <c r="A1" s="205" t="s">
        <v>191</v>
      </c>
      <c r="B1" s="205"/>
      <c r="C1" s="205"/>
      <c r="D1" s="205"/>
      <c r="E1" s="205"/>
      <c r="F1" s="205"/>
      <c r="G1" s="205"/>
      <c r="H1" s="205"/>
    </row>
    <row r="2" spans="1:6" ht="18.75">
      <c r="A2" s="1" t="s">
        <v>82</v>
      </c>
      <c r="B2" s="1" t="s">
        <v>83</v>
      </c>
      <c r="C2" s="2"/>
      <c r="D2" s="2" t="s">
        <v>0</v>
      </c>
      <c r="E2" s="26">
        <v>2704.3</v>
      </c>
      <c r="F2" s="2"/>
    </row>
    <row r="3" spans="2:6" ht="15.75">
      <c r="B3" s="3" t="s">
        <v>1</v>
      </c>
      <c r="C3" s="35">
        <v>5</v>
      </c>
      <c r="D3" s="2" t="s">
        <v>2</v>
      </c>
      <c r="E3" s="27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114.75">
      <c r="A6" s="50" t="s">
        <v>61</v>
      </c>
      <c r="B6" s="257" t="s">
        <v>137</v>
      </c>
      <c r="C6" s="258"/>
      <c r="D6" s="259"/>
      <c r="E6" s="51" t="s">
        <v>6</v>
      </c>
      <c r="F6" s="51" t="s">
        <v>7</v>
      </c>
      <c r="G6" s="116" t="s">
        <v>192</v>
      </c>
      <c r="H6" s="117" t="s">
        <v>87</v>
      </c>
    </row>
    <row r="7" spans="1:8" ht="15.75" customHeight="1">
      <c r="A7" s="52">
        <v>1</v>
      </c>
      <c r="B7" s="260" t="s">
        <v>88</v>
      </c>
      <c r="C7" s="260"/>
      <c r="D7" s="260"/>
      <c r="E7" s="260"/>
      <c r="F7" s="260"/>
      <c r="G7" s="53"/>
      <c r="H7" s="118"/>
    </row>
    <row r="8" spans="1:8" ht="15.75" customHeight="1">
      <c r="A8" s="52"/>
      <c r="B8" s="212" t="s">
        <v>193</v>
      </c>
      <c r="C8" s="212"/>
      <c r="D8" s="212"/>
      <c r="E8" s="212"/>
      <c r="F8" s="212"/>
      <c r="G8" s="23">
        <f>G30</f>
        <v>10.580000000000002</v>
      </c>
      <c r="H8" s="118">
        <f>ROUND($E$2*G8*12,0)</f>
        <v>343338</v>
      </c>
    </row>
    <row r="9" spans="1:8" ht="15.75" customHeight="1">
      <c r="A9" s="52"/>
      <c r="B9" s="250" t="s">
        <v>89</v>
      </c>
      <c r="C9" s="250"/>
      <c r="D9" s="250"/>
      <c r="E9" s="250"/>
      <c r="F9" s="250"/>
      <c r="G9" s="22">
        <v>0.76</v>
      </c>
      <c r="H9" s="118">
        <f>ROUND($E$2*G9*12,0)</f>
        <v>24663</v>
      </c>
    </row>
    <row r="10" spans="1:8" ht="18.75" customHeight="1">
      <c r="A10" s="52">
        <v>2</v>
      </c>
      <c r="B10" s="213" t="s">
        <v>74</v>
      </c>
      <c r="C10" s="213"/>
      <c r="D10" s="213"/>
      <c r="E10" s="213"/>
      <c r="F10" s="213"/>
      <c r="G10" s="55"/>
      <c r="H10" s="118"/>
    </row>
    <row r="11" spans="1:8" ht="15.75" customHeight="1">
      <c r="A11" s="52"/>
      <c r="B11" s="18" t="s">
        <v>75</v>
      </c>
      <c r="C11" s="18"/>
      <c r="D11" s="18"/>
      <c r="E11" s="18"/>
      <c r="F11" s="5"/>
      <c r="G11" s="90"/>
      <c r="H11" s="118"/>
    </row>
    <row r="12" spans="1:8" ht="15.75" customHeight="1">
      <c r="A12" s="119"/>
      <c r="B12" s="251" t="s">
        <v>194</v>
      </c>
      <c r="C12" s="251"/>
      <c r="D12" s="251"/>
      <c r="E12" s="97" t="s">
        <v>32</v>
      </c>
      <c r="F12" s="56" t="s">
        <v>24</v>
      </c>
      <c r="G12" s="57">
        <v>1.06</v>
      </c>
      <c r="H12" s="54">
        <f aca="true" t="shared" si="0" ref="H12:H30">ROUND($E$2*G12*12,0)</f>
        <v>34399</v>
      </c>
    </row>
    <row r="13" spans="1:8" ht="15.75" customHeight="1">
      <c r="A13" s="119"/>
      <c r="B13" s="251" t="s">
        <v>17</v>
      </c>
      <c r="C13" s="251"/>
      <c r="D13" s="251"/>
      <c r="E13" s="97" t="s">
        <v>32</v>
      </c>
      <c r="F13" s="56" t="s">
        <v>19</v>
      </c>
      <c r="G13" s="57">
        <v>0.28</v>
      </c>
      <c r="H13" s="54">
        <f t="shared" si="0"/>
        <v>9086</v>
      </c>
    </row>
    <row r="14" spans="1:8" ht="15.75" customHeight="1">
      <c r="A14" s="119"/>
      <c r="B14" s="248" t="s">
        <v>23</v>
      </c>
      <c r="C14" s="248"/>
      <c r="D14" s="248"/>
      <c r="E14" s="101" t="s">
        <v>149</v>
      </c>
      <c r="F14" s="58" t="s">
        <v>20</v>
      </c>
      <c r="G14" s="57">
        <v>0.39</v>
      </c>
      <c r="H14" s="54">
        <f t="shared" si="0"/>
        <v>12656</v>
      </c>
    </row>
    <row r="15" spans="1:8" ht="18.75" customHeight="1">
      <c r="A15" s="119"/>
      <c r="B15" s="252" t="s">
        <v>31</v>
      </c>
      <c r="C15" s="252"/>
      <c r="D15" s="252"/>
      <c r="E15" s="103" t="s">
        <v>9</v>
      </c>
      <c r="F15" s="59" t="s">
        <v>10</v>
      </c>
      <c r="G15" s="57">
        <v>0.51</v>
      </c>
      <c r="H15" s="54">
        <f t="shared" si="0"/>
        <v>16550</v>
      </c>
    </row>
    <row r="16" spans="1:8" ht="51">
      <c r="A16" s="119"/>
      <c r="B16" s="248" t="s">
        <v>27</v>
      </c>
      <c r="C16" s="248"/>
      <c r="D16" s="248"/>
      <c r="E16" s="101" t="s">
        <v>150</v>
      </c>
      <c r="F16" s="58" t="s">
        <v>25</v>
      </c>
      <c r="G16" s="57">
        <v>0.12</v>
      </c>
      <c r="H16" s="54">
        <f t="shared" si="0"/>
        <v>3894</v>
      </c>
    </row>
    <row r="17" spans="1:8" ht="31.5" customHeight="1">
      <c r="A17" s="119"/>
      <c r="B17" s="248" t="s">
        <v>11</v>
      </c>
      <c r="C17" s="248"/>
      <c r="D17" s="248"/>
      <c r="E17" s="101" t="s">
        <v>9</v>
      </c>
      <c r="F17" s="58" t="s">
        <v>12</v>
      </c>
      <c r="G17" s="57">
        <v>0</v>
      </c>
      <c r="H17" s="54">
        <f t="shared" si="0"/>
        <v>0</v>
      </c>
    </row>
    <row r="18" spans="1:8" ht="15.75" customHeight="1">
      <c r="A18" s="119"/>
      <c r="B18" s="248" t="s">
        <v>26</v>
      </c>
      <c r="C18" s="249"/>
      <c r="D18" s="249"/>
      <c r="E18" s="104" t="s">
        <v>13</v>
      </c>
      <c r="F18" s="55" t="s">
        <v>195</v>
      </c>
      <c r="G18" s="57">
        <v>0.05</v>
      </c>
      <c r="H18" s="54">
        <f t="shared" si="0"/>
        <v>1623</v>
      </c>
    </row>
    <row r="19" spans="1:8" ht="15.75" customHeight="1">
      <c r="A19" s="119"/>
      <c r="B19" s="248" t="s">
        <v>151</v>
      </c>
      <c r="C19" s="248"/>
      <c r="D19" s="248"/>
      <c r="E19" s="97" t="s">
        <v>36</v>
      </c>
      <c r="F19" s="58" t="s">
        <v>81</v>
      </c>
      <c r="G19" s="57">
        <v>2.15</v>
      </c>
      <c r="H19" s="54">
        <f t="shared" si="0"/>
        <v>69771</v>
      </c>
    </row>
    <row r="20" spans="1:8" ht="33" customHeight="1">
      <c r="A20" s="119"/>
      <c r="B20" s="251" t="s">
        <v>15</v>
      </c>
      <c r="C20" s="251"/>
      <c r="D20" s="251"/>
      <c r="E20" s="97" t="s">
        <v>91</v>
      </c>
      <c r="F20" s="58" t="s">
        <v>81</v>
      </c>
      <c r="G20" s="57">
        <v>0.44</v>
      </c>
      <c r="H20" s="54">
        <f t="shared" si="0"/>
        <v>14279</v>
      </c>
    </row>
    <row r="21" spans="1:8" ht="25.5">
      <c r="A21" s="119"/>
      <c r="B21" s="248" t="s">
        <v>37</v>
      </c>
      <c r="C21" s="249"/>
      <c r="D21" s="249"/>
      <c r="E21" s="97" t="s">
        <v>36</v>
      </c>
      <c r="F21" s="58" t="s">
        <v>81</v>
      </c>
      <c r="G21" s="57">
        <f>3.46-G22-G23</f>
        <v>3.46</v>
      </c>
      <c r="H21" s="54">
        <f t="shared" si="0"/>
        <v>112283</v>
      </c>
    </row>
    <row r="22" spans="1:8" ht="31.5" customHeight="1">
      <c r="A22" s="119"/>
      <c r="B22" s="248" t="s">
        <v>196</v>
      </c>
      <c r="C22" s="248"/>
      <c r="D22" s="248"/>
      <c r="E22" s="101" t="s">
        <v>9</v>
      </c>
      <c r="F22" s="58" t="s">
        <v>81</v>
      </c>
      <c r="G22" s="57">
        <v>0</v>
      </c>
      <c r="H22" s="54">
        <f t="shared" si="0"/>
        <v>0</v>
      </c>
    </row>
    <row r="23" spans="1:8" ht="15.75" customHeight="1">
      <c r="A23" s="119"/>
      <c r="B23" s="248" t="s">
        <v>153</v>
      </c>
      <c r="C23" s="248"/>
      <c r="D23" s="248"/>
      <c r="E23" s="101" t="s">
        <v>9</v>
      </c>
      <c r="F23" s="58" t="s">
        <v>81</v>
      </c>
      <c r="G23" s="57">
        <v>0</v>
      </c>
      <c r="H23" s="54">
        <f t="shared" si="0"/>
        <v>0</v>
      </c>
    </row>
    <row r="24" spans="1:8" ht="36.75" customHeight="1">
      <c r="A24" s="119"/>
      <c r="B24" s="249" t="s">
        <v>21</v>
      </c>
      <c r="C24" s="249"/>
      <c r="D24" s="249"/>
      <c r="E24" s="97" t="s">
        <v>36</v>
      </c>
      <c r="F24" s="58" t="s">
        <v>81</v>
      </c>
      <c r="G24" s="57">
        <v>1.06</v>
      </c>
      <c r="H24" s="54">
        <f t="shared" si="0"/>
        <v>34399</v>
      </c>
    </row>
    <row r="25" spans="1:8" ht="15.75">
      <c r="A25" s="22"/>
      <c r="B25" s="232" t="s">
        <v>154</v>
      </c>
      <c r="C25" s="233"/>
      <c r="D25" s="234"/>
      <c r="E25" s="101" t="s">
        <v>9</v>
      </c>
      <c r="F25" s="58"/>
      <c r="G25" s="57"/>
      <c r="H25" s="54"/>
    </row>
    <row r="26" spans="1:8" ht="25.5">
      <c r="A26" s="22"/>
      <c r="B26" s="232" t="s">
        <v>155</v>
      </c>
      <c r="C26" s="233"/>
      <c r="D26" s="234"/>
      <c r="E26" s="97" t="s">
        <v>36</v>
      </c>
      <c r="F26" s="58"/>
      <c r="G26" s="57"/>
      <c r="H26" s="54"/>
    </row>
    <row r="27" spans="1:8" ht="31.5" customHeight="1">
      <c r="A27" s="119"/>
      <c r="B27" s="235"/>
      <c r="C27" s="236"/>
      <c r="D27" s="237"/>
      <c r="E27" s="97"/>
      <c r="F27" s="58"/>
      <c r="G27" s="57"/>
      <c r="H27" s="54"/>
    </row>
    <row r="28" spans="1:8" ht="15.75">
      <c r="A28" s="119"/>
      <c r="B28" s="261" t="s">
        <v>30</v>
      </c>
      <c r="C28" s="262"/>
      <c r="D28" s="263"/>
      <c r="E28" s="14"/>
      <c r="F28" s="58"/>
      <c r="G28" s="20">
        <f>SUM(G12:G27)</f>
        <v>9.520000000000001</v>
      </c>
      <c r="H28" s="54">
        <f t="shared" si="0"/>
        <v>308939</v>
      </c>
    </row>
    <row r="29" spans="1:8" ht="15.75">
      <c r="A29" s="52" t="s">
        <v>156</v>
      </c>
      <c r="B29" s="245" t="s">
        <v>197</v>
      </c>
      <c r="C29" s="246"/>
      <c r="D29" s="246"/>
      <c r="E29" s="247"/>
      <c r="F29" s="60" t="s">
        <v>92</v>
      </c>
      <c r="G29" s="23">
        <v>1.06</v>
      </c>
      <c r="H29" s="54">
        <f t="shared" si="0"/>
        <v>34399</v>
      </c>
    </row>
    <row r="30" spans="1:8" ht="48" customHeight="1">
      <c r="A30" s="52"/>
      <c r="B30" s="253" t="s">
        <v>198</v>
      </c>
      <c r="C30" s="253"/>
      <c r="D30" s="253"/>
      <c r="E30" s="253"/>
      <c r="F30" s="253"/>
      <c r="G30" s="20">
        <f>SUM(G28:G29)</f>
        <v>10.580000000000002</v>
      </c>
      <c r="H30" s="120">
        <f t="shared" si="0"/>
        <v>343338</v>
      </c>
    </row>
    <row r="31" spans="1:8" ht="16.5" thickBot="1">
      <c r="A31" s="121">
        <v>3</v>
      </c>
      <c r="B31" s="254" t="s">
        <v>199</v>
      </c>
      <c r="C31" s="255"/>
      <c r="D31" s="256"/>
      <c r="E31" s="122"/>
      <c r="F31" s="123" t="s">
        <v>92</v>
      </c>
      <c r="G31" s="61">
        <v>0.76</v>
      </c>
      <c r="H31" s="124">
        <f>ROUND($E$2*G31*12,0)</f>
        <v>24663</v>
      </c>
    </row>
    <row r="33" spans="2:5" ht="15.75">
      <c r="B33" s="33" t="s">
        <v>200</v>
      </c>
      <c r="C33" s="33"/>
      <c r="D33" s="33"/>
      <c r="E33" s="33"/>
    </row>
  </sheetData>
  <sheetProtection/>
  <mergeCells count="26">
    <mergeCell ref="B29:E29"/>
    <mergeCell ref="B30:F30"/>
    <mergeCell ref="B31:D31"/>
    <mergeCell ref="A1:H1"/>
    <mergeCell ref="B6:D6"/>
    <mergeCell ref="B7:F7"/>
    <mergeCell ref="B28:D28"/>
    <mergeCell ref="B19:D19"/>
    <mergeCell ref="B20:D20"/>
    <mergeCell ref="B8:F8"/>
    <mergeCell ref="B9:F9"/>
    <mergeCell ref="B10:F10"/>
    <mergeCell ref="B16:D16"/>
    <mergeCell ref="B25:D25"/>
    <mergeCell ref="B17:D17"/>
    <mergeCell ref="B18:D18"/>
    <mergeCell ref="B12:D12"/>
    <mergeCell ref="B13:D13"/>
    <mergeCell ref="B14:D14"/>
    <mergeCell ref="B15:D15"/>
    <mergeCell ref="B26:D26"/>
    <mergeCell ref="B27:D27"/>
    <mergeCell ref="B21:D21"/>
    <mergeCell ref="B22:D22"/>
    <mergeCell ref="B23:D23"/>
    <mergeCell ref="B24:D24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4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25390625" style="0" customWidth="1"/>
    <col min="2" max="2" width="25.125" style="0" customWidth="1"/>
    <col min="3" max="3" width="3.75390625" style="0" customWidth="1"/>
    <col min="4" max="4" width="22.875" style="0" customWidth="1"/>
    <col min="5" max="5" width="18.00390625" style="0" customWidth="1"/>
    <col min="6" max="6" width="0.12890625" style="0" hidden="1" customWidth="1"/>
    <col min="7" max="7" width="11.375" style="0" hidden="1" customWidth="1"/>
    <col min="8" max="8" width="11.625" style="0" bestFit="1" customWidth="1"/>
    <col min="9" max="9" width="11.75390625" style="0" bestFit="1" customWidth="1"/>
    <col min="10" max="10" width="11.625" style="0" bestFit="1" customWidth="1"/>
  </cols>
  <sheetData>
    <row r="1" spans="1:10" ht="110.25" customHeight="1">
      <c r="A1" s="205" t="s">
        <v>202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54" customHeight="1">
      <c r="A2" s="225" t="s">
        <v>203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6" ht="18.75">
      <c r="A3" s="1"/>
      <c r="B3" s="1" t="s">
        <v>83</v>
      </c>
      <c r="C3" s="2"/>
      <c r="D3" s="2" t="s">
        <v>0</v>
      </c>
      <c r="E3" s="26">
        <v>2704.3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0" ht="39" customHeight="1">
      <c r="A7" s="21" t="s">
        <v>61</v>
      </c>
      <c r="B7" s="226" t="s">
        <v>137</v>
      </c>
      <c r="C7" s="227"/>
      <c r="D7" s="228"/>
      <c r="E7" s="11" t="s">
        <v>6</v>
      </c>
      <c r="F7" s="11" t="s">
        <v>7</v>
      </c>
      <c r="G7" s="86" t="s">
        <v>22</v>
      </c>
      <c r="H7" s="229" t="s">
        <v>138</v>
      </c>
      <c r="I7" s="230"/>
      <c r="J7" s="231"/>
    </row>
    <row r="8" spans="1:10" ht="15.75">
      <c r="A8" s="22">
        <v>1</v>
      </c>
      <c r="B8" s="196"/>
      <c r="C8" s="197"/>
      <c r="D8" s="197"/>
      <c r="E8" s="197"/>
      <c r="F8" s="216"/>
      <c r="G8" s="87"/>
      <c r="H8" s="88" t="s">
        <v>139</v>
      </c>
      <c r="I8" s="89" t="s">
        <v>140</v>
      </c>
      <c r="J8" s="89" t="s">
        <v>141</v>
      </c>
    </row>
    <row r="9" spans="1:10" ht="15.75">
      <c r="A9" s="22"/>
      <c r="B9" s="196" t="s">
        <v>142</v>
      </c>
      <c r="C9" s="197"/>
      <c r="D9" s="197"/>
      <c r="E9" s="197"/>
      <c r="F9" s="216"/>
      <c r="G9" s="90"/>
      <c r="H9" s="90"/>
      <c r="I9" s="68"/>
      <c r="J9" s="89"/>
    </row>
    <row r="10" spans="1:10" ht="15.75">
      <c r="A10" s="91"/>
      <c r="B10" s="211" t="s">
        <v>143</v>
      </c>
      <c r="C10" s="211"/>
      <c r="D10" s="211"/>
      <c r="E10" s="211"/>
      <c r="F10" s="211"/>
      <c r="G10" s="15"/>
      <c r="H10" s="92">
        <v>331805.44</v>
      </c>
      <c r="I10" s="53"/>
      <c r="J10" s="93">
        <f>H10+I10</f>
        <v>331805.44</v>
      </c>
    </row>
    <row r="11" spans="1:10" ht="15.75">
      <c r="A11" s="91"/>
      <c r="B11" s="211" t="s">
        <v>144</v>
      </c>
      <c r="C11" s="211"/>
      <c r="D11" s="211"/>
      <c r="E11" s="211"/>
      <c r="F11" s="211"/>
      <c r="G11" s="15"/>
      <c r="H11" s="16">
        <v>18560.01</v>
      </c>
      <c r="I11" s="53"/>
      <c r="J11" s="93">
        <f>H11+I11</f>
        <v>18560.01</v>
      </c>
    </row>
    <row r="12" spans="1:10" ht="15.75">
      <c r="A12" s="22"/>
      <c r="B12" s="211" t="s">
        <v>145</v>
      </c>
      <c r="C12" s="211"/>
      <c r="D12" s="211"/>
      <c r="E12" s="211"/>
      <c r="F12" s="211"/>
      <c r="G12" s="15"/>
      <c r="H12" s="92"/>
      <c r="I12" s="53">
        <v>0</v>
      </c>
      <c r="J12" s="93">
        <f>H12+I12</f>
        <v>0</v>
      </c>
    </row>
    <row r="13" spans="1:10" ht="15.75">
      <c r="A13" s="22"/>
      <c r="B13" s="211" t="s">
        <v>146</v>
      </c>
      <c r="C13" s="211"/>
      <c r="D13" s="211"/>
      <c r="E13" s="211"/>
      <c r="F13" s="211"/>
      <c r="G13" s="15"/>
      <c r="H13" s="92"/>
      <c r="I13" s="94">
        <v>0</v>
      </c>
      <c r="J13" s="93">
        <f>H13+I13</f>
        <v>0</v>
      </c>
    </row>
    <row r="14" spans="1:10" ht="15.75">
      <c r="A14" s="22"/>
      <c r="B14" s="212" t="s">
        <v>147</v>
      </c>
      <c r="C14" s="212"/>
      <c r="D14" s="212"/>
      <c r="E14" s="212"/>
      <c r="F14" s="212"/>
      <c r="G14" s="15"/>
      <c r="H14" s="42">
        <f>SUM(H10:H13)</f>
        <v>350365.45</v>
      </c>
      <c r="I14" s="42">
        <f>SUM(I10:I13)</f>
        <v>0</v>
      </c>
      <c r="J14" s="42">
        <f>SUM(J10:J13)</f>
        <v>350365.45</v>
      </c>
    </row>
    <row r="15" spans="1:10" ht="18.75">
      <c r="A15" s="22">
        <v>2</v>
      </c>
      <c r="B15" s="213" t="s">
        <v>74</v>
      </c>
      <c r="C15" s="213"/>
      <c r="D15" s="213"/>
      <c r="E15" s="213"/>
      <c r="F15" s="213"/>
      <c r="G15" s="15"/>
      <c r="H15" s="92"/>
      <c r="I15" s="53"/>
      <c r="J15" s="34"/>
    </row>
    <row r="16" spans="1:10" ht="15.75">
      <c r="A16" s="22" t="s">
        <v>148</v>
      </c>
      <c r="B16" s="18" t="s">
        <v>75</v>
      </c>
      <c r="C16" s="18"/>
      <c r="D16" s="18"/>
      <c r="E16" s="18"/>
      <c r="F16" s="5"/>
      <c r="G16" s="88"/>
      <c r="H16" s="88"/>
      <c r="I16" s="85"/>
      <c r="J16" s="89"/>
    </row>
    <row r="17" spans="1:10" ht="33" customHeight="1">
      <c r="A17" s="96"/>
      <c r="B17" s="238" t="s">
        <v>90</v>
      </c>
      <c r="C17" s="238"/>
      <c r="D17" s="238"/>
      <c r="E17" s="97" t="s">
        <v>32</v>
      </c>
      <c r="F17" s="56" t="s">
        <v>24</v>
      </c>
      <c r="G17" s="57">
        <v>1.06</v>
      </c>
      <c r="H17" s="98">
        <f>ROUND(G17*$E$3*12,2)</f>
        <v>34398.7</v>
      </c>
      <c r="I17" s="99">
        <f>$I$12*0.08</f>
        <v>0</v>
      </c>
      <c r="J17" s="100">
        <f>SUM(H17:I17)</f>
        <v>34398.7</v>
      </c>
    </row>
    <row r="18" spans="1:10" ht="17.25" customHeight="1">
      <c r="A18" s="22"/>
      <c r="B18" s="239" t="s">
        <v>17</v>
      </c>
      <c r="C18" s="239"/>
      <c r="D18" s="239"/>
      <c r="E18" s="97" t="s">
        <v>32</v>
      </c>
      <c r="F18" s="56" t="s">
        <v>19</v>
      </c>
      <c r="G18" s="57">
        <v>0.28</v>
      </c>
      <c r="H18" s="98">
        <f>ROUND(G18*$E$3*12,2)</f>
        <v>9086.45</v>
      </c>
      <c r="I18" s="99">
        <f>$I$12*0.02</f>
        <v>0</v>
      </c>
      <c r="J18" s="100">
        <f aca="true" t="shared" si="0" ref="J18:J37">SUM(H18:I18)</f>
        <v>9086.45</v>
      </c>
    </row>
    <row r="19" spans="1:10" ht="20.25" customHeight="1">
      <c r="A19" s="22"/>
      <c r="B19" s="240" t="s">
        <v>23</v>
      </c>
      <c r="C19" s="240"/>
      <c r="D19" s="240"/>
      <c r="E19" s="101" t="s">
        <v>149</v>
      </c>
      <c r="F19" s="58" t="s">
        <v>20</v>
      </c>
      <c r="G19" s="57">
        <v>0.39</v>
      </c>
      <c r="H19" s="98">
        <f>J19-I19</f>
        <v>13226.51</v>
      </c>
      <c r="I19" s="99">
        <f>$I$12*0.07</f>
        <v>0</v>
      </c>
      <c r="J19" s="102">
        <v>13226.51</v>
      </c>
    </row>
    <row r="20" spans="1:10" ht="20.25" customHeight="1">
      <c r="A20" s="96"/>
      <c r="B20" s="238" t="s">
        <v>31</v>
      </c>
      <c r="C20" s="238"/>
      <c r="D20" s="238"/>
      <c r="E20" s="103" t="s">
        <v>9</v>
      </c>
      <c r="F20" s="59" t="s">
        <v>10</v>
      </c>
      <c r="G20" s="57">
        <v>0.51</v>
      </c>
      <c r="H20" s="98">
        <f>ROUND(G20*$E$3*12,2)</f>
        <v>16550.32</v>
      </c>
      <c r="I20" s="99">
        <f>$I$12*0.04</f>
        <v>0</v>
      </c>
      <c r="J20" s="100">
        <f t="shared" si="0"/>
        <v>16550.32</v>
      </c>
    </row>
    <row r="21" spans="1:10" ht="60.75" customHeight="1">
      <c r="A21" s="22"/>
      <c r="B21" s="240" t="s">
        <v>27</v>
      </c>
      <c r="C21" s="240"/>
      <c r="D21" s="240"/>
      <c r="E21" s="101" t="s">
        <v>150</v>
      </c>
      <c r="F21" s="58" t="s">
        <v>25</v>
      </c>
      <c r="G21" s="57">
        <v>0.12</v>
      </c>
      <c r="H21" s="98">
        <f>J21-I21</f>
        <v>2715.74</v>
      </c>
      <c r="I21" s="99">
        <f>$I$12*0.01</f>
        <v>0</v>
      </c>
      <c r="J21" s="102">
        <v>2715.74</v>
      </c>
    </row>
    <row r="22" spans="1:10" ht="20.25" customHeight="1">
      <c r="A22" s="96"/>
      <c r="B22" s="240" t="s">
        <v>11</v>
      </c>
      <c r="C22" s="240"/>
      <c r="D22" s="240"/>
      <c r="E22" s="101" t="s">
        <v>9</v>
      </c>
      <c r="F22" s="58" t="s">
        <v>12</v>
      </c>
      <c r="G22" s="57">
        <v>0</v>
      </c>
      <c r="H22" s="98">
        <f>J22-I22</f>
        <v>0</v>
      </c>
      <c r="I22" s="99">
        <f>$I$12*0.15</f>
        <v>0</v>
      </c>
      <c r="J22" s="102">
        <f>G22*E3*12</f>
        <v>0</v>
      </c>
    </row>
    <row r="23" spans="1:10" ht="20.25" customHeight="1">
      <c r="A23" s="96"/>
      <c r="B23" s="240" t="s">
        <v>26</v>
      </c>
      <c r="C23" s="241"/>
      <c r="D23" s="241"/>
      <c r="E23" s="104" t="s">
        <v>13</v>
      </c>
      <c r="F23" s="55" t="s">
        <v>14</v>
      </c>
      <c r="G23" s="57">
        <v>0.05</v>
      </c>
      <c r="H23" s="98">
        <f>J23-I23</f>
        <v>3278.4</v>
      </c>
      <c r="I23" s="99">
        <f>$I$12*0.003</f>
        <v>0</v>
      </c>
      <c r="J23" s="102">
        <v>3278.4</v>
      </c>
    </row>
    <row r="24" spans="1:10" ht="28.5" customHeight="1">
      <c r="A24" s="22"/>
      <c r="B24" s="240" t="s">
        <v>151</v>
      </c>
      <c r="C24" s="240"/>
      <c r="D24" s="240"/>
      <c r="E24" s="97" t="s">
        <v>36</v>
      </c>
      <c r="F24" s="40" t="s">
        <v>81</v>
      </c>
      <c r="G24" s="57">
        <v>2.15</v>
      </c>
      <c r="H24" s="98">
        <f aca="true" t="shared" si="1" ref="H24:H29">ROUND(G24*$E$3*12,2)</f>
        <v>69770.94</v>
      </c>
      <c r="I24" s="99">
        <f>$I$12*0.19</f>
        <v>0</v>
      </c>
      <c r="J24" s="100">
        <f t="shared" si="0"/>
        <v>69770.94</v>
      </c>
    </row>
    <row r="25" spans="1:10" ht="26.25" customHeight="1">
      <c r="A25" s="22"/>
      <c r="B25" s="239" t="s">
        <v>15</v>
      </c>
      <c r="C25" s="239"/>
      <c r="D25" s="239"/>
      <c r="E25" s="97" t="s">
        <v>36</v>
      </c>
      <c r="F25" s="40" t="s">
        <v>81</v>
      </c>
      <c r="G25" s="57">
        <v>0.44</v>
      </c>
      <c r="H25" s="105">
        <f>ROUND(G25*$E$3*12,2)</f>
        <v>14278.7</v>
      </c>
      <c r="I25" s="99">
        <v>0</v>
      </c>
      <c r="J25" s="100">
        <f t="shared" si="0"/>
        <v>14278.7</v>
      </c>
    </row>
    <row r="26" spans="1:10" ht="30" customHeight="1">
      <c r="A26" s="22"/>
      <c r="B26" s="217" t="s">
        <v>37</v>
      </c>
      <c r="C26" s="233"/>
      <c r="D26" s="234"/>
      <c r="E26" s="97" t="s">
        <v>36</v>
      </c>
      <c r="F26" s="40" t="s">
        <v>81</v>
      </c>
      <c r="G26" s="36">
        <f>3.46-G27-G28</f>
        <v>3.46</v>
      </c>
      <c r="H26" s="105">
        <f t="shared" si="1"/>
        <v>112282.54</v>
      </c>
      <c r="I26" s="106">
        <f>$I$12*0.22</f>
        <v>0</v>
      </c>
      <c r="J26" s="100">
        <f t="shared" si="0"/>
        <v>112282.54</v>
      </c>
    </row>
    <row r="27" spans="1:10" ht="26.25" customHeight="1">
      <c r="A27" s="96"/>
      <c r="B27" s="240" t="s">
        <v>152</v>
      </c>
      <c r="C27" s="240"/>
      <c r="D27" s="240"/>
      <c r="E27" s="97" t="s">
        <v>36</v>
      </c>
      <c r="F27" s="40" t="s">
        <v>81</v>
      </c>
      <c r="G27" s="36">
        <v>0</v>
      </c>
      <c r="H27" s="105">
        <f t="shared" si="1"/>
        <v>0</v>
      </c>
      <c r="I27" s="106"/>
      <c r="J27" s="100">
        <f t="shared" si="0"/>
        <v>0</v>
      </c>
    </row>
    <row r="28" spans="1:10" ht="17.25" customHeight="1">
      <c r="A28" s="22"/>
      <c r="B28" s="240" t="s">
        <v>153</v>
      </c>
      <c r="C28" s="240"/>
      <c r="D28" s="240"/>
      <c r="E28" s="101" t="s">
        <v>9</v>
      </c>
      <c r="F28" s="40" t="s">
        <v>81</v>
      </c>
      <c r="G28" s="36">
        <v>0</v>
      </c>
      <c r="H28" s="105">
        <f t="shared" si="1"/>
        <v>0</v>
      </c>
      <c r="I28" s="106"/>
      <c r="J28" s="100">
        <f t="shared" si="0"/>
        <v>0</v>
      </c>
    </row>
    <row r="29" spans="1:10" ht="33.75" customHeight="1">
      <c r="A29" s="22"/>
      <c r="B29" s="241" t="s">
        <v>21</v>
      </c>
      <c r="C29" s="241"/>
      <c r="D29" s="241"/>
      <c r="E29" s="129" t="s">
        <v>36</v>
      </c>
      <c r="F29" s="40" t="s">
        <v>81</v>
      </c>
      <c r="G29" s="55">
        <v>1.06</v>
      </c>
      <c r="H29" s="98">
        <f t="shared" si="1"/>
        <v>34398.7</v>
      </c>
      <c r="I29" s="99">
        <f>$I$12*0.1</f>
        <v>0</v>
      </c>
      <c r="J29" s="100">
        <f t="shared" si="0"/>
        <v>34398.7</v>
      </c>
    </row>
    <row r="30" spans="1:10" ht="15.75">
      <c r="A30" s="22"/>
      <c r="B30" s="235"/>
      <c r="C30" s="236"/>
      <c r="D30" s="237"/>
      <c r="E30" s="101"/>
      <c r="F30" s="40"/>
      <c r="G30" s="55"/>
      <c r="H30" s="105"/>
      <c r="I30" s="94"/>
      <c r="J30" s="107"/>
    </row>
    <row r="31" spans="1:10" ht="15.75">
      <c r="A31" s="22"/>
      <c r="B31" s="223" t="s">
        <v>30</v>
      </c>
      <c r="C31" s="223"/>
      <c r="D31" s="223"/>
      <c r="E31" s="14"/>
      <c r="F31" s="40"/>
      <c r="G31" s="20">
        <f>SUM(G17:G29)</f>
        <v>9.520000000000001</v>
      </c>
      <c r="H31" s="46">
        <f>SUM(H17:H30)</f>
        <v>309987</v>
      </c>
      <c r="I31" s="108">
        <f>SUM(I17:I30)</f>
        <v>0</v>
      </c>
      <c r="J31" s="46">
        <f>SUM(J17:J30)</f>
        <v>309987</v>
      </c>
    </row>
    <row r="32" spans="1:10" ht="21.75" customHeight="1">
      <c r="A32" s="22"/>
      <c r="B32" s="232" t="s">
        <v>154</v>
      </c>
      <c r="C32" s="233"/>
      <c r="D32" s="234"/>
      <c r="E32" s="101" t="s">
        <v>9</v>
      </c>
      <c r="F32" s="40"/>
      <c r="G32" s="55"/>
      <c r="H32" s="105"/>
      <c r="I32" s="94"/>
      <c r="J32" s="107"/>
    </row>
    <row r="33" spans="1:10" ht="27.75" customHeight="1">
      <c r="A33" s="22"/>
      <c r="B33" s="232" t="s">
        <v>155</v>
      </c>
      <c r="C33" s="233"/>
      <c r="D33" s="234"/>
      <c r="E33" s="97" t="s">
        <v>36</v>
      </c>
      <c r="F33" s="40"/>
      <c r="G33" s="55"/>
      <c r="H33" s="105"/>
      <c r="I33" s="94"/>
      <c r="J33" s="107"/>
    </row>
    <row r="34" spans="1:10" ht="15.75">
      <c r="A34" s="22"/>
      <c r="B34" s="235"/>
      <c r="C34" s="236"/>
      <c r="D34" s="237"/>
      <c r="E34" s="101"/>
      <c r="F34" s="40"/>
      <c r="G34" s="55"/>
      <c r="H34" s="105"/>
      <c r="I34" s="94"/>
      <c r="J34" s="107"/>
    </row>
    <row r="35" spans="1:10" ht="15" customHeight="1">
      <c r="A35" s="22" t="s">
        <v>156</v>
      </c>
      <c r="B35" s="245" t="s">
        <v>157</v>
      </c>
      <c r="C35" s="246"/>
      <c r="D35" s="246"/>
      <c r="E35" s="247"/>
      <c r="F35" s="40" t="s">
        <v>81</v>
      </c>
      <c r="G35" s="23">
        <f>H35/E3/12</f>
        <v>4.93941747094134</v>
      </c>
      <c r="H35" s="109">
        <v>160292</v>
      </c>
      <c r="I35" s="110">
        <v>0</v>
      </c>
      <c r="J35" s="42">
        <f t="shared" si="0"/>
        <v>160292</v>
      </c>
    </row>
    <row r="36" spans="1:10" ht="14.25" customHeight="1">
      <c r="A36" s="25"/>
      <c r="B36" s="243" t="s">
        <v>76</v>
      </c>
      <c r="C36" s="243"/>
      <c r="D36" s="243"/>
      <c r="E36" s="243"/>
      <c r="F36" s="243"/>
      <c r="G36" s="20">
        <f>SUM(G31:G35)</f>
        <v>14.459417470941341</v>
      </c>
      <c r="H36" s="47">
        <f>SUM(H31:H35)</f>
        <v>470279</v>
      </c>
      <c r="I36" s="111">
        <f>SUM(I31:I35)</f>
        <v>0</v>
      </c>
      <c r="J36" s="47">
        <f>SUM(J31:J35)</f>
        <v>470279</v>
      </c>
    </row>
    <row r="37" spans="1:10" ht="15.75">
      <c r="A37" s="22" t="s">
        <v>158</v>
      </c>
      <c r="B37" s="242" t="s">
        <v>159</v>
      </c>
      <c r="C37" s="242"/>
      <c r="D37" s="242"/>
      <c r="E37" s="242"/>
      <c r="F37" s="242"/>
      <c r="G37" s="23"/>
      <c r="H37" s="112">
        <v>0</v>
      </c>
      <c r="I37" s="112">
        <v>0</v>
      </c>
      <c r="J37" s="113">
        <f t="shared" si="0"/>
        <v>0</v>
      </c>
    </row>
    <row r="38" spans="1:10" ht="24.75" customHeight="1">
      <c r="A38" s="25"/>
      <c r="B38" s="243" t="s">
        <v>160</v>
      </c>
      <c r="C38" s="243"/>
      <c r="D38" s="243"/>
      <c r="E38" s="243"/>
      <c r="F38" s="243"/>
      <c r="G38" s="20">
        <f>SUM(G36:G37)</f>
        <v>14.459417470941341</v>
      </c>
      <c r="H38" s="47">
        <f>SUM(H36:H37)</f>
        <v>470279</v>
      </c>
      <c r="I38" s="111">
        <f>SUM(I36:I37)</f>
        <v>0</v>
      </c>
      <c r="J38" s="47">
        <f>SUM(J36:J37)</f>
        <v>470279</v>
      </c>
    </row>
    <row r="39" spans="1:10" ht="27" customHeight="1">
      <c r="A39" s="22">
        <v>3</v>
      </c>
      <c r="B39" s="217" t="s">
        <v>204</v>
      </c>
      <c r="C39" s="218"/>
      <c r="D39" s="218"/>
      <c r="E39" s="218"/>
      <c r="F39" s="218"/>
      <c r="G39" s="219"/>
      <c r="H39" s="98">
        <f>H14-H38</f>
        <v>-119913.54999999999</v>
      </c>
      <c r="I39" s="98">
        <f>I14-I38</f>
        <v>0</v>
      </c>
      <c r="J39" s="114">
        <f>J14-J38</f>
        <v>-119913.54999999999</v>
      </c>
    </row>
    <row r="40" spans="2:6" ht="15.75">
      <c r="B40" s="33"/>
      <c r="F40" s="33"/>
    </row>
    <row r="41" spans="2:9" ht="36" customHeight="1">
      <c r="B41" s="244" t="s">
        <v>190</v>
      </c>
      <c r="C41" s="244"/>
      <c r="D41" s="244"/>
      <c r="E41" s="244"/>
      <c r="F41" s="244"/>
      <c r="G41" s="244"/>
      <c r="H41" s="244"/>
      <c r="I41" s="244"/>
    </row>
    <row r="42" spans="2:4" ht="25.5" customHeight="1">
      <c r="B42" s="33"/>
      <c r="C42" s="33"/>
      <c r="D42" s="33"/>
    </row>
    <row r="43" spans="2:4" ht="15.75">
      <c r="B43" s="38" t="s">
        <v>205</v>
      </c>
      <c r="C43" s="38"/>
      <c r="D43" s="37"/>
    </row>
    <row r="44" spans="2:4" ht="15.75" customHeight="1">
      <c r="B44" s="210" t="s">
        <v>86</v>
      </c>
      <c r="C44" s="210"/>
      <c r="D44" s="210"/>
    </row>
  </sheetData>
  <sheetProtection/>
  <mergeCells count="37">
    <mergeCell ref="B36:F36"/>
    <mergeCell ref="B44:D44"/>
    <mergeCell ref="B37:F37"/>
    <mergeCell ref="B38:F38"/>
    <mergeCell ref="B39:G39"/>
    <mergeCell ref="B41:I41"/>
    <mergeCell ref="B23:D23"/>
    <mergeCell ref="B24:D24"/>
    <mergeCell ref="B25:D25"/>
    <mergeCell ref="B26:D26"/>
    <mergeCell ref="B27:D27"/>
    <mergeCell ref="B35:E35"/>
    <mergeCell ref="B28:D28"/>
    <mergeCell ref="B32:D32"/>
    <mergeCell ref="B33:D33"/>
    <mergeCell ref="B31:D31"/>
    <mergeCell ref="B11:F11"/>
    <mergeCell ref="B12:F12"/>
    <mergeCell ref="B13:F13"/>
    <mergeCell ref="B17:D17"/>
    <mergeCell ref="B18:D18"/>
    <mergeCell ref="B19:D19"/>
    <mergeCell ref="B34:D34"/>
    <mergeCell ref="B14:F14"/>
    <mergeCell ref="B15:F15"/>
    <mergeCell ref="B20:D20"/>
    <mergeCell ref="B21:D21"/>
    <mergeCell ref="B22:D22"/>
    <mergeCell ref="B29:D29"/>
    <mergeCell ref="B30:D30"/>
    <mergeCell ref="B8:F8"/>
    <mergeCell ref="B9:F9"/>
    <mergeCell ref="B10:F10"/>
    <mergeCell ref="A1:J1"/>
    <mergeCell ref="A2:J2"/>
    <mergeCell ref="B7:D7"/>
    <mergeCell ref="H7:J7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H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7.875" style="0" customWidth="1"/>
    <col min="6" max="6" width="18.00390625" style="0" hidden="1" customWidth="1"/>
    <col min="7" max="7" width="0.12890625" style="0" customWidth="1"/>
    <col min="8" max="8" width="13.25390625" style="0" customWidth="1"/>
  </cols>
  <sheetData>
    <row r="1" spans="1:8" ht="101.25" customHeight="1">
      <c r="A1" s="205" t="s">
        <v>206</v>
      </c>
      <c r="B1" s="205"/>
      <c r="C1" s="205"/>
      <c r="D1" s="205"/>
      <c r="E1" s="205"/>
      <c r="F1" s="205"/>
      <c r="G1" s="205"/>
      <c r="H1" s="205"/>
    </row>
    <row r="2" spans="1:6" ht="18.75">
      <c r="A2" s="1" t="s">
        <v>82</v>
      </c>
      <c r="B2" s="1" t="s">
        <v>83</v>
      </c>
      <c r="C2" s="2"/>
      <c r="D2" s="2" t="s">
        <v>0</v>
      </c>
      <c r="E2" s="26">
        <v>2704.3</v>
      </c>
      <c r="F2" s="2"/>
    </row>
    <row r="3" spans="2:6" ht="15.75">
      <c r="B3" s="3" t="s">
        <v>1</v>
      </c>
      <c r="C3" s="35">
        <v>5</v>
      </c>
      <c r="D3" s="2" t="s">
        <v>2</v>
      </c>
      <c r="E3" s="27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60" customHeight="1">
      <c r="A6" s="50" t="s">
        <v>61</v>
      </c>
      <c r="B6" s="257" t="s">
        <v>137</v>
      </c>
      <c r="C6" s="258"/>
      <c r="D6" s="259"/>
      <c r="E6" s="51" t="s">
        <v>6</v>
      </c>
      <c r="F6" s="51" t="s">
        <v>7</v>
      </c>
      <c r="G6" s="116" t="s">
        <v>192</v>
      </c>
      <c r="H6" s="117" t="s">
        <v>87</v>
      </c>
    </row>
    <row r="7" spans="1:8" ht="15.75" customHeight="1">
      <c r="A7" s="52">
        <v>1</v>
      </c>
      <c r="B7" s="260" t="s">
        <v>88</v>
      </c>
      <c r="C7" s="260"/>
      <c r="D7" s="260"/>
      <c r="E7" s="260"/>
      <c r="F7" s="260"/>
      <c r="G7" s="53"/>
      <c r="H7" s="118"/>
    </row>
    <row r="8" spans="1:8" ht="15.75" customHeight="1">
      <c r="A8" s="52"/>
      <c r="B8" s="212" t="s">
        <v>193</v>
      </c>
      <c r="C8" s="212"/>
      <c r="D8" s="212"/>
      <c r="E8" s="212"/>
      <c r="F8" s="212"/>
      <c r="G8" s="23">
        <f>G30</f>
        <v>10.89</v>
      </c>
      <c r="H8" s="118">
        <f>ROUND($E$2*G8*12,0)</f>
        <v>353398</v>
      </c>
    </row>
    <row r="9" spans="1:8" ht="15.75" customHeight="1">
      <c r="A9" s="52"/>
      <c r="B9" s="250" t="s">
        <v>89</v>
      </c>
      <c r="C9" s="250"/>
      <c r="D9" s="250"/>
      <c r="E9" s="250"/>
      <c r="F9" s="250"/>
      <c r="G9" s="22">
        <v>0.78</v>
      </c>
      <c r="H9" s="118">
        <f>ROUND($E$2*G9*12,0)</f>
        <v>25312</v>
      </c>
    </row>
    <row r="10" spans="1:8" ht="18.75" customHeight="1">
      <c r="A10" s="52">
        <v>2</v>
      </c>
      <c r="B10" s="213" t="s">
        <v>74</v>
      </c>
      <c r="C10" s="213"/>
      <c r="D10" s="213"/>
      <c r="E10" s="213"/>
      <c r="F10" s="213"/>
      <c r="G10" s="55"/>
      <c r="H10" s="118"/>
    </row>
    <row r="11" spans="1:8" ht="15.75" customHeight="1">
      <c r="A11" s="52"/>
      <c r="B11" s="18" t="s">
        <v>75</v>
      </c>
      <c r="C11" s="18"/>
      <c r="D11" s="18"/>
      <c r="E11" s="18"/>
      <c r="F11" s="5"/>
      <c r="G11" s="90"/>
      <c r="H11" s="118"/>
    </row>
    <row r="12" spans="1:8" ht="15.75" customHeight="1">
      <c r="A12" s="119"/>
      <c r="B12" s="251" t="s">
        <v>194</v>
      </c>
      <c r="C12" s="251"/>
      <c r="D12" s="251"/>
      <c r="E12" s="97" t="s">
        <v>32</v>
      </c>
      <c r="F12" s="56" t="s">
        <v>24</v>
      </c>
      <c r="G12" s="125">
        <v>1.09</v>
      </c>
      <c r="H12" s="54">
        <f aca="true" t="shared" si="0" ref="H12:H30">ROUND($E$2*G12*12,0)</f>
        <v>35372</v>
      </c>
    </row>
    <row r="13" spans="1:8" ht="15.75" customHeight="1">
      <c r="A13" s="119"/>
      <c r="B13" s="251" t="s">
        <v>17</v>
      </c>
      <c r="C13" s="251"/>
      <c r="D13" s="251"/>
      <c r="E13" s="97" t="s">
        <v>32</v>
      </c>
      <c r="F13" s="56" t="s">
        <v>19</v>
      </c>
      <c r="G13" s="57">
        <v>0.29</v>
      </c>
      <c r="H13" s="54">
        <f t="shared" si="0"/>
        <v>9411</v>
      </c>
    </row>
    <row r="14" spans="1:8" ht="15.75" customHeight="1">
      <c r="A14" s="119"/>
      <c r="B14" s="248" t="s">
        <v>23</v>
      </c>
      <c r="C14" s="248"/>
      <c r="D14" s="248"/>
      <c r="E14" s="101" t="s">
        <v>149</v>
      </c>
      <c r="F14" s="58" t="s">
        <v>20</v>
      </c>
      <c r="G14" s="57">
        <v>0.4</v>
      </c>
      <c r="H14" s="54">
        <f t="shared" si="0"/>
        <v>12981</v>
      </c>
    </row>
    <row r="15" spans="1:8" ht="18.75" customHeight="1">
      <c r="A15" s="119"/>
      <c r="B15" s="252" t="s">
        <v>31</v>
      </c>
      <c r="C15" s="252"/>
      <c r="D15" s="252"/>
      <c r="E15" s="103" t="s">
        <v>9</v>
      </c>
      <c r="F15" s="59" t="s">
        <v>10</v>
      </c>
      <c r="G15" s="57">
        <v>0.53</v>
      </c>
      <c r="H15" s="54">
        <f t="shared" si="0"/>
        <v>17199</v>
      </c>
    </row>
    <row r="16" spans="1:8" ht="51">
      <c r="A16" s="119"/>
      <c r="B16" s="248" t="s">
        <v>27</v>
      </c>
      <c r="C16" s="248"/>
      <c r="D16" s="248"/>
      <c r="E16" s="101" t="s">
        <v>150</v>
      </c>
      <c r="F16" s="58" t="s">
        <v>25</v>
      </c>
      <c r="G16" s="57">
        <v>0.12</v>
      </c>
      <c r="H16" s="54">
        <f t="shared" si="0"/>
        <v>3894</v>
      </c>
    </row>
    <row r="17" spans="1:8" ht="31.5" customHeight="1">
      <c r="A17" s="119"/>
      <c r="B17" s="248" t="s">
        <v>11</v>
      </c>
      <c r="C17" s="248"/>
      <c r="D17" s="248"/>
      <c r="E17" s="101" t="s">
        <v>9</v>
      </c>
      <c r="F17" s="58" t="s">
        <v>12</v>
      </c>
      <c r="G17" s="57">
        <v>0</v>
      </c>
      <c r="H17" s="54">
        <f t="shared" si="0"/>
        <v>0</v>
      </c>
    </row>
    <row r="18" spans="1:8" ht="15.75" customHeight="1">
      <c r="A18" s="119"/>
      <c r="B18" s="248" t="s">
        <v>26</v>
      </c>
      <c r="C18" s="249"/>
      <c r="D18" s="249"/>
      <c r="E18" s="104" t="s">
        <v>13</v>
      </c>
      <c r="F18" s="55" t="s">
        <v>195</v>
      </c>
      <c r="G18" s="57">
        <v>0.05</v>
      </c>
      <c r="H18" s="54">
        <f t="shared" si="0"/>
        <v>1623</v>
      </c>
    </row>
    <row r="19" spans="1:8" ht="33" customHeight="1">
      <c r="A19" s="119"/>
      <c r="B19" s="248" t="s">
        <v>151</v>
      </c>
      <c r="C19" s="248"/>
      <c r="D19" s="248"/>
      <c r="E19" s="97" t="s">
        <v>36</v>
      </c>
      <c r="F19" s="58" t="s">
        <v>81</v>
      </c>
      <c r="G19" s="57">
        <v>2.21</v>
      </c>
      <c r="H19" s="54">
        <f t="shared" si="0"/>
        <v>71718</v>
      </c>
    </row>
    <row r="20" spans="1:8" ht="33" customHeight="1">
      <c r="A20" s="119"/>
      <c r="B20" s="251" t="s">
        <v>15</v>
      </c>
      <c r="C20" s="251"/>
      <c r="D20" s="251"/>
      <c r="E20" s="97" t="s">
        <v>91</v>
      </c>
      <c r="F20" s="58" t="s">
        <v>81</v>
      </c>
      <c r="G20" s="57">
        <v>0.45</v>
      </c>
      <c r="H20" s="54">
        <f t="shared" si="0"/>
        <v>14603</v>
      </c>
    </row>
    <row r="21" spans="1:8" ht="25.5">
      <c r="A21" s="119"/>
      <c r="B21" s="248" t="s">
        <v>37</v>
      </c>
      <c r="C21" s="249"/>
      <c r="D21" s="249"/>
      <c r="E21" s="97" t="s">
        <v>36</v>
      </c>
      <c r="F21" s="58" t="s">
        <v>81</v>
      </c>
      <c r="G21" s="57">
        <f>3.57-G22-G23</f>
        <v>3.57</v>
      </c>
      <c r="H21" s="54">
        <f t="shared" si="0"/>
        <v>115852</v>
      </c>
    </row>
    <row r="22" spans="1:8" ht="31.5" customHeight="1">
      <c r="A22" s="119"/>
      <c r="B22" s="248" t="s">
        <v>196</v>
      </c>
      <c r="C22" s="248"/>
      <c r="D22" s="248"/>
      <c r="E22" s="101" t="s">
        <v>9</v>
      </c>
      <c r="F22" s="58" t="s">
        <v>81</v>
      </c>
      <c r="G22" s="57">
        <v>0</v>
      </c>
      <c r="H22" s="54">
        <f t="shared" si="0"/>
        <v>0</v>
      </c>
    </row>
    <row r="23" spans="1:8" ht="15.75" customHeight="1">
      <c r="A23" s="119"/>
      <c r="B23" s="248" t="s">
        <v>153</v>
      </c>
      <c r="C23" s="248"/>
      <c r="D23" s="248"/>
      <c r="E23" s="101" t="s">
        <v>9</v>
      </c>
      <c r="F23" s="58" t="s">
        <v>81</v>
      </c>
      <c r="G23" s="57">
        <v>0</v>
      </c>
      <c r="H23" s="54">
        <f t="shared" si="0"/>
        <v>0</v>
      </c>
    </row>
    <row r="24" spans="1:8" ht="36.75" customHeight="1">
      <c r="A24" s="119"/>
      <c r="B24" s="249" t="s">
        <v>21</v>
      </c>
      <c r="C24" s="249"/>
      <c r="D24" s="249"/>
      <c r="E24" s="97" t="s">
        <v>36</v>
      </c>
      <c r="F24" s="58" t="s">
        <v>81</v>
      </c>
      <c r="G24" s="57">
        <v>1.09</v>
      </c>
      <c r="H24" s="54">
        <f t="shared" si="0"/>
        <v>35372</v>
      </c>
    </row>
    <row r="25" spans="1:8" ht="15.75">
      <c r="A25" s="22"/>
      <c r="B25" s="232" t="s">
        <v>154</v>
      </c>
      <c r="C25" s="233"/>
      <c r="D25" s="234"/>
      <c r="E25" s="101" t="s">
        <v>9</v>
      </c>
      <c r="F25" s="58"/>
      <c r="G25" s="57"/>
      <c r="H25" s="54"/>
    </row>
    <row r="26" spans="1:8" ht="25.5">
      <c r="A26" s="22"/>
      <c r="B26" s="232" t="s">
        <v>155</v>
      </c>
      <c r="C26" s="233"/>
      <c r="D26" s="234"/>
      <c r="E26" s="97" t="s">
        <v>36</v>
      </c>
      <c r="F26" s="58"/>
      <c r="G26" s="57"/>
      <c r="H26" s="54"/>
    </row>
    <row r="27" spans="1:8" ht="14.25" customHeight="1">
      <c r="A27" s="119"/>
      <c r="B27" s="235"/>
      <c r="C27" s="236"/>
      <c r="D27" s="237"/>
      <c r="E27" s="97"/>
      <c r="F27" s="58"/>
      <c r="G27" s="57"/>
      <c r="H27" s="54"/>
    </row>
    <row r="28" spans="1:8" ht="15.75">
      <c r="A28" s="119"/>
      <c r="B28" s="261" t="s">
        <v>30</v>
      </c>
      <c r="C28" s="262"/>
      <c r="D28" s="263"/>
      <c r="E28" s="14"/>
      <c r="F28" s="58"/>
      <c r="G28" s="20">
        <f>SUM(G12:G27)</f>
        <v>9.8</v>
      </c>
      <c r="H28" s="54">
        <f t="shared" si="0"/>
        <v>318026</v>
      </c>
    </row>
    <row r="29" spans="1:8" ht="15.75">
      <c r="A29" s="52" t="s">
        <v>156</v>
      </c>
      <c r="B29" s="245" t="s">
        <v>208</v>
      </c>
      <c r="C29" s="246"/>
      <c r="D29" s="246"/>
      <c r="E29" s="247"/>
      <c r="F29" s="60" t="s">
        <v>92</v>
      </c>
      <c r="G29" s="23">
        <v>1.09</v>
      </c>
      <c r="H29" s="54">
        <v>87700</v>
      </c>
    </row>
    <row r="30" spans="1:8" ht="21.75" customHeight="1">
      <c r="A30" s="52"/>
      <c r="B30" s="253" t="s">
        <v>198</v>
      </c>
      <c r="C30" s="253"/>
      <c r="D30" s="253"/>
      <c r="E30" s="253"/>
      <c r="F30" s="253"/>
      <c r="G30" s="20">
        <f>SUM(G28:G29)</f>
        <v>10.89</v>
      </c>
      <c r="H30" s="120">
        <f t="shared" si="0"/>
        <v>353398</v>
      </c>
    </row>
    <row r="31" spans="1:8" ht="16.5" thickBot="1">
      <c r="A31" s="121">
        <v>3</v>
      </c>
      <c r="B31" s="254" t="s">
        <v>209</v>
      </c>
      <c r="C31" s="255"/>
      <c r="D31" s="256"/>
      <c r="E31" s="122"/>
      <c r="F31" s="123" t="s">
        <v>92</v>
      </c>
      <c r="G31" s="61">
        <v>0.78</v>
      </c>
      <c r="H31" s="124">
        <f>ROUND($E$2*G31*12,0)</f>
        <v>25312</v>
      </c>
    </row>
    <row r="32" spans="2:7" ht="47.25" customHeight="1">
      <c r="B32" s="264" t="s">
        <v>207</v>
      </c>
      <c r="C32" s="264"/>
      <c r="D32" s="264"/>
      <c r="E32" s="264"/>
      <c r="F32" s="126"/>
      <c r="G32" s="127"/>
    </row>
    <row r="33" spans="2:7" ht="14.25" customHeight="1">
      <c r="B33" s="128"/>
      <c r="C33" s="128"/>
      <c r="D33" s="128"/>
      <c r="E33" s="128"/>
      <c r="F33" s="126"/>
      <c r="G33" s="127"/>
    </row>
    <row r="34" spans="2:5" ht="15.75">
      <c r="B34" s="33" t="s">
        <v>210</v>
      </c>
      <c r="C34" s="33"/>
      <c r="D34" s="33"/>
      <c r="E34" s="33"/>
    </row>
  </sheetData>
  <sheetProtection/>
  <mergeCells count="27">
    <mergeCell ref="A1:H1"/>
    <mergeCell ref="B6:D6"/>
    <mergeCell ref="B7:F7"/>
    <mergeCell ref="B8:F8"/>
    <mergeCell ref="B14:D14"/>
    <mergeCell ref="B15:D15"/>
    <mergeCell ref="B16:D16"/>
    <mergeCell ref="B17:D17"/>
    <mergeCell ref="B9:F9"/>
    <mergeCell ref="B10:F10"/>
    <mergeCell ref="B12:D12"/>
    <mergeCell ref="B13:D13"/>
    <mergeCell ref="B22:D22"/>
    <mergeCell ref="B23:D23"/>
    <mergeCell ref="B30:F30"/>
    <mergeCell ref="B31:D31"/>
    <mergeCell ref="B18:D18"/>
    <mergeCell ref="B19:D19"/>
    <mergeCell ref="B20:D20"/>
    <mergeCell ref="B21:D21"/>
    <mergeCell ref="B32:E32"/>
    <mergeCell ref="B24:D24"/>
    <mergeCell ref="B25:D25"/>
    <mergeCell ref="B26:D26"/>
    <mergeCell ref="B27:D27"/>
    <mergeCell ref="B28:D28"/>
    <mergeCell ref="B29:E29"/>
  </mergeCells>
  <printOptions/>
  <pageMargins left="0.15748031496062992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G37"/>
  <sheetViews>
    <sheetView zoomScalePageLayoutView="0" workbookViewId="0" topLeftCell="A10">
      <selection activeCell="F16" sqref="F16:F28"/>
    </sheetView>
  </sheetViews>
  <sheetFormatPr defaultColWidth="9.00390625" defaultRowHeight="15.75"/>
  <cols>
    <col min="1" max="1" width="8.25390625" style="0" customWidth="1"/>
    <col min="2" max="2" width="27.625" style="0" customWidth="1"/>
    <col min="3" max="3" width="3.00390625" style="0" customWidth="1"/>
    <col min="4" max="4" width="14.375" style="0" customWidth="1"/>
    <col min="5" max="5" width="16.375" style="0" customWidth="1"/>
    <col min="6" max="6" width="12.00390625" style="0" customWidth="1"/>
    <col min="7" max="7" width="12.875" style="0" customWidth="1"/>
  </cols>
  <sheetData>
    <row r="1" spans="3:7" ht="69.75" customHeight="1">
      <c r="C1" s="267" t="s">
        <v>227</v>
      </c>
      <c r="D1" s="267"/>
      <c r="E1" s="267"/>
      <c r="F1" s="267"/>
      <c r="G1" s="267"/>
    </row>
    <row r="4" spans="1:7" ht="20.25">
      <c r="A4" s="205" t="s">
        <v>211</v>
      </c>
      <c r="B4" s="205"/>
      <c r="C4" s="205"/>
      <c r="D4" s="205"/>
      <c r="E4" s="205"/>
      <c r="F4" s="205"/>
      <c r="G4" s="205"/>
    </row>
    <row r="5" spans="1:5" ht="19.5">
      <c r="A5" s="130"/>
      <c r="B5" s="130"/>
      <c r="C5" s="130"/>
      <c r="D5" s="130"/>
      <c r="E5" s="130"/>
    </row>
    <row r="6" spans="2:7" ht="15.75" customHeight="1">
      <c r="B6" s="268" t="s">
        <v>212</v>
      </c>
      <c r="C6" s="268"/>
      <c r="D6" s="268"/>
      <c r="E6" s="268"/>
      <c r="F6" s="268"/>
      <c r="G6" s="268"/>
    </row>
    <row r="7" spans="1:5" ht="15.75">
      <c r="A7" s="131"/>
      <c r="B7" s="131"/>
      <c r="C7" s="131"/>
      <c r="D7" s="131"/>
      <c r="E7" s="131"/>
    </row>
    <row r="8" spans="1:5" ht="18.75">
      <c r="A8" s="1" t="s">
        <v>82</v>
      </c>
      <c r="B8" s="1" t="s">
        <v>83</v>
      </c>
      <c r="C8" s="2"/>
      <c r="D8" s="2" t="s">
        <v>0</v>
      </c>
      <c r="E8" s="26">
        <v>2697.4</v>
      </c>
    </row>
    <row r="9" spans="2:5" ht="15.75">
      <c r="B9" s="3" t="s">
        <v>1</v>
      </c>
      <c r="C9" s="35">
        <v>5</v>
      </c>
      <c r="D9" s="2" t="s">
        <v>2</v>
      </c>
      <c r="E9" s="27">
        <v>60</v>
      </c>
    </row>
    <row r="10" spans="2:6" ht="15.75">
      <c r="B10" s="3" t="s">
        <v>3</v>
      </c>
      <c r="C10" s="4">
        <v>4</v>
      </c>
      <c r="D10" s="2" t="s">
        <v>4</v>
      </c>
      <c r="E10" s="2" t="s">
        <v>16</v>
      </c>
      <c r="F10" s="2"/>
    </row>
    <row r="11" spans="2:6" ht="16.5" thickBot="1">
      <c r="B11" s="3"/>
      <c r="C11" s="4"/>
      <c r="D11" s="2" t="s">
        <v>5</v>
      </c>
      <c r="E11" s="2" t="s">
        <v>16</v>
      </c>
      <c r="F11" s="2"/>
    </row>
    <row r="12" spans="1:7" ht="94.5">
      <c r="A12" s="50" t="s">
        <v>61</v>
      </c>
      <c r="B12" s="257" t="s">
        <v>137</v>
      </c>
      <c r="C12" s="258"/>
      <c r="D12" s="259"/>
      <c r="E12" s="51" t="s">
        <v>6</v>
      </c>
      <c r="F12" s="132" t="s">
        <v>213</v>
      </c>
      <c r="G12" s="133" t="s">
        <v>214</v>
      </c>
    </row>
    <row r="13" spans="1:7" ht="25.5">
      <c r="A13" s="134">
        <v>1</v>
      </c>
      <c r="B13" s="226">
        <v>2</v>
      </c>
      <c r="C13" s="227"/>
      <c r="D13" s="266"/>
      <c r="E13" s="135">
        <v>3</v>
      </c>
      <c r="F13" s="136">
        <v>4</v>
      </c>
      <c r="G13" s="137" t="s">
        <v>215</v>
      </c>
    </row>
    <row r="14" spans="1:7" ht="18.75">
      <c r="A14" s="52">
        <v>1</v>
      </c>
      <c r="B14" s="265" t="s">
        <v>74</v>
      </c>
      <c r="C14" s="265"/>
      <c r="D14" s="265"/>
      <c r="E14" s="265"/>
      <c r="F14" s="55"/>
      <c r="G14" s="118"/>
    </row>
    <row r="15" spans="1:7" ht="15.75">
      <c r="A15" s="52" t="s">
        <v>216</v>
      </c>
      <c r="B15" s="138" t="s">
        <v>75</v>
      </c>
      <c r="C15" s="138"/>
      <c r="D15" s="138"/>
      <c r="E15" s="138"/>
      <c r="F15" s="68"/>
      <c r="G15" s="118"/>
    </row>
    <row r="16" spans="1:7" ht="15.75">
      <c r="A16" s="119"/>
      <c r="B16" s="270" t="s">
        <v>217</v>
      </c>
      <c r="C16" s="251"/>
      <c r="D16" s="251"/>
      <c r="E16" s="97" t="s">
        <v>32</v>
      </c>
      <c r="F16" s="57">
        <v>1.12</v>
      </c>
      <c r="G16" s="54">
        <f aca="true" t="shared" si="0" ref="G16:G28">ROUND($E$8*F16*4,0)</f>
        <v>12084</v>
      </c>
    </row>
    <row r="17" spans="1:7" ht="15.75">
      <c r="A17" s="119"/>
      <c r="B17" s="251" t="s">
        <v>17</v>
      </c>
      <c r="C17" s="251"/>
      <c r="D17" s="251"/>
      <c r="E17" s="97" t="s">
        <v>32</v>
      </c>
      <c r="F17" s="57">
        <v>0.3</v>
      </c>
      <c r="G17" s="54">
        <f t="shared" si="0"/>
        <v>3237</v>
      </c>
    </row>
    <row r="18" spans="1:7" ht="15.75">
      <c r="A18" s="119"/>
      <c r="B18" s="248" t="s">
        <v>23</v>
      </c>
      <c r="C18" s="248"/>
      <c r="D18" s="248"/>
      <c r="E18" s="101" t="s">
        <v>149</v>
      </c>
      <c r="F18" s="57">
        <v>0.41</v>
      </c>
      <c r="G18" s="54">
        <f t="shared" si="0"/>
        <v>4424</v>
      </c>
    </row>
    <row r="19" spans="1:7" ht="15.75">
      <c r="A19" s="119"/>
      <c r="B19" s="252" t="s">
        <v>31</v>
      </c>
      <c r="C19" s="252"/>
      <c r="D19" s="252"/>
      <c r="E19" s="103" t="s">
        <v>9</v>
      </c>
      <c r="F19" s="57">
        <v>0.54</v>
      </c>
      <c r="G19" s="54">
        <f t="shared" si="0"/>
        <v>5826</v>
      </c>
    </row>
    <row r="20" spans="1:7" ht="63.75">
      <c r="A20" s="119"/>
      <c r="B20" s="248" t="s">
        <v>27</v>
      </c>
      <c r="C20" s="248"/>
      <c r="D20" s="248"/>
      <c r="E20" s="101" t="s">
        <v>150</v>
      </c>
      <c r="F20" s="57">
        <v>0.13</v>
      </c>
      <c r="G20" s="54">
        <f t="shared" si="0"/>
        <v>1403</v>
      </c>
    </row>
    <row r="21" spans="1:7" ht="15.75">
      <c r="A21" s="119"/>
      <c r="B21" s="248" t="s">
        <v>11</v>
      </c>
      <c r="C21" s="248"/>
      <c r="D21" s="248"/>
      <c r="E21" s="101" t="s">
        <v>9</v>
      </c>
      <c r="F21" s="141">
        <v>0</v>
      </c>
      <c r="G21" s="54">
        <f t="shared" si="0"/>
        <v>0</v>
      </c>
    </row>
    <row r="22" spans="1:7" ht="15.75">
      <c r="A22" s="119"/>
      <c r="B22" s="248" t="s">
        <v>26</v>
      </c>
      <c r="C22" s="249"/>
      <c r="D22" s="249"/>
      <c r="E22" s="104" t="s">
        <v>13</v>
      </c>
      <c r="F22" s="57">
        <v>0.05</v>
      </c>
      <c r="G22" s="54">
        <f t="shared" si="0"/>
        <v>539</v>
      </c>
    </row>
    <row r="23" spans="1:7" ht="51">
      <c r="A23" s="119"/>
      <c r="B23" s="248" t="s">
        <v>151</v>
      </c>
      <c r="C23" s="248"/>
      <c r="D23" s="248"/>
      <c r="E23" s="140" t="s">
        <v>225</v>
      </c>
      <c r="F23" s="57">
        <v>1.63</v>
      </c>
      <c r="G23" s="54">
        <f t="shared" si="0"/>
        <v>17587</v>
      </c>
    </row>
    <row r="24" spans="1:7" ht="51">
      <c r="A24" s="119"/>
      <c r="B24" s="251" t="s">
        <v>15</v>
      </c>
      <c r="C24" s="251"/>
      <c r="D24" s="251"/>
      <c r="E24" s="97" t="s">
        <v>91</v>
      </c>
      <c r="F24" s="57">
        <v>0.47</v>
      </c>
      <c r="G24" s="54">
        <f t="shared" si="0"/>
        <v>5071</v>
      </c>
    </row>
    <row r="25" spans="1:7" ht="31.5" customHeight="1">
      <c r="A25" s="119"/>
      <c r="B25" s="248" t="s">
        <v>37</v>
      </c>
      <c r="C25" s="249"/>
      <c r="D25" s="249"/>
      <c r="E25" s="97" t="s">
        <v>36</v>
      </c>
      <c r="F25" s="57">
        <v>4.32</v>
      </c>
      <c r="G25" s="54">
        <f t="shared" si="0"/>
        <v>46611</v>
      </c>
    </row>
    <row r="26" spans="1:7" ht="15.75">
      <c r="A26" s="119"/>
      <c r="B26" s="248" t="s">
        <v>196</v>
      </c>
      <c r="C26" s="248"/>
      <c r="D26" s="248"/>
      <c r="E26" s="101" t="s">
        <v>9</v>
      </c>
      <c r="F26" s="141">
        <v>0</v>
      </c>
      <c r="G26" s="54">
        <f t="shared" si="0"/>
        <v>0</v>
      </c>
    </row>
    <row r="27" spans="1:7" ht="15.75">
      <c r="A27" s="119"/>
      <c r="B27" s="248" t="s">
        <v>153</v>
      </c>
      <c r="C27" s="248"/>
      <c r="D27" s="248"/>
      <c r="E27" s="101" t="s">
        <v>9</v>
      </c>
      <c r="F27" s="141">
        <v>0</v>
      </c>
      <c r="G27" s="54">
        <f t="shared" si="0"/>
        <v>0</v>
      </c>
    </row>
    <row r="28" spans="1:7" ht="25.5">
      <c r="A28" s="119"/>
      <c r="B28" s="249" t="s">
        <v>21</v>
      </c>
      <c r="C28" s="249"/>
      <c r="D28" s="249"/>
      <c r="E28" s="97" t="s">
        <v>36</v>
      </c>
      <c r="F28" s="57">
        <v>1.12</v>
      </c>
      <c r="G28" s="54">
        <f t="shared" si="0"/>
        <v>12084</v>
      </c>
    </row>
    <row r="29" spans="1:7" ht="15.75">
      <c r="A29" s="119"/>
      <c r="B29" s="226" t="s">
        <v>30</v>
      </c>
      <c r="C29" s="227"/>
      <c r="D29" s="228"/>
      <c r="E29" s="22"/>
      <c r="F29" s="23">
        <f>SUM(F16:F28)</f>
        <v>10.09</v>
      </c>
      <c r="G29" s="54">
        <f>ROUND($E$8*F29*4,0)</f>
        <v>108867</v>
      </c>
    </row>
    <row r="30" spans="1:7" ht="15.75">
      <c r="A30" s="52" t="s">
        <v>218</v>
      </c>
      <c r="B30" s="245" t="s">
        <v>208</v>
      </c>
      <c r="C30" s="246"/>
      <c r="D30" s="247"/>
      <c r="E30" s="101" t="s">
        <v>219</v>
      </c>
      <c r="F30" s="23">
        <v>1.12</v>
      </c>
      <c r="G30" s="54">
        <f>ROUND($E$8*F30*4,0)</f>
        <v>12084</v>
      </c>
    </row>
    <row r="31" spans="1:7" ht="15.75">
      <c r="A31" s="52" t="s">
        <v>220</v>
      </c>
      <c r="B31" s="269" t="s">
        <v>198</v>
      </c>
      <c r="C31" s="269"/>
      <c r="D31" s="269"/>
      <c r="E31" s="269"/>
      <c r="F31" s="23">
        <f>SUM(F29:F30)</f>
        <v>11.21</v>
      </c>
      <c r="G31" s="54">
        <f>ROUND($E$8*F31*4,0)</f>
        <v>120951</v>
      </c>
    </row>
    <row r="32" spans="1:7" ht="16.5" thickBot="1">
      <c r="A32" s="121" t="s">
        <v>103</v>
      </c>
      <c r="B32" s="271" t="s">
        <v>209</v>
      </c>
      <c r="C32" s="272"/>
      <c r="D32" s="273"/>
      <c r="E32" s="101" t="s">
        <v>219</v>
      </c>
      <c r="F32" s="143">
        <v>0.8</v>
      </c>
      <c r="G32" s="142">
        <f>ROUND($E$8*F32*4,0)</f>
        <v>8632</v>
      </c>
    </row>
    <row r="33" spans="1:7" ht="15.75">
      <c r="A33" s="139"/>
      <c r="B33" s="274" t="s">
        <v>226</v>
      </c>
      <c r="C33" s="274"/>
      <c r="D33" s="274"/>
      <c r="E33" s="274"/>
      <c r="F33" s="127"/>
      <c r="G33" s="139"/>
    </row>
    <row r="35" spans="1:7" ht="15.75">
      <c r="A35" s="275" t="s">
        <v>221</v>
      </c>
      <c r="B35" s="275"/>
      <c r="C35" s="275"/>
      <c r="D35" s="275"/>
      <c r="E35" s="33" t="s">
        <v>222</v>
      </c>
      <c r="F35" s="33"/>
      <c r="G35" s="33"/>
    </row>
    <row r="37" spans="1:5" ht="15.75">
      <c r="A37" s="275" t="s">
        <v>223</v>
      </c>
      <c r="B37" s="275"/>
      <c r="C37" s="275"/>
      <c r="D37" s="275"/>
      <c r="E37" t="s">
        <v>224</v>
      </c>
    </row>
  </sheetData>
  <sheetProtection/>
  <mergeCells count="26">
    <mergeCell ref="B32:D32"/>
    <mergeCell ref="B33:E33"/>
    <mergeCell ref="A35:D35"/>
    <mergeCell ref="A37:D37"/>
    <mergeCell ref="B24:D24"/>
    <mergeCell ref="B25:D25"/>
    <mergeCell ref="B27:D27"/>
    <mergeCell ref="B28:D28"/>
    <mergeCell ref="B26:D26"/>
    <mergeCell ref="B29:D29"/>
    <mergeCell ref="B30:D30"/>
    <mergeCell ref="B31:E31"/>
    <mergeCell ref="B16:D16"/>
    <mergeCell ref="B17:D17"/>
    <mergeCell ref="B18:D18"/>
    <mergeCell ref="B19:D19"/>
    <mergeCell ref="B20:D20"/>
    <mergeCell ref="B21:D21"/>
    <mergeCell ref="B22:D22"/>
    <mergeCell ref="B23:D23"/>
    <mergeCell ref="B14:E14"/>
    <mergeCell ref="B13:D13"/>
    <mergeCell ref="C1:G1"/>
    <mergeCell ref="A4:G4"/>
    <mergeCell ref="B12:D12"/>
    <mergeCell ref="B6:G6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J36"/>
  <sheetViews>
    <sheetView zoomScalePageLayoutView="0" workbookViewId="0" topLeftCell="A21">
      <selection activeCell="O34" sqref="O34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205" t="s">
        <v>241</v>
      </c>
      <c r="B1" s="205"/>
      <c r="C1" s="205"/>
      <c r="D1" s="205"/>
      <c r="E1" s="205"/>
      <c r="F1" s="205"/>
      <c r="G1" s="205"/>
      <c r="H1" s="205"/>
      <c r="I1" s="205"/>
    </row>
    <row r="2" spans="1:9" ht="20.25">
      <c r="A2" s="144"/>
      <c r="B2" s="144"/>
      <c r="C2" s="144"/>
      <c r="D2" s="144"/>
      <c r="E2" s="144"/>
      <c r="F2" s="144"/>
      <c r="G2" s="144"/>
      <c r="H2" s="144"/>
      <c r="I2" s="144"/>
    </row>
    <row r="3" spans="1:9" ht="20.25">
      <c r="A3" s="144"/>
      <c r="B3" s="144"/>
      <c r="C3" s="144"/>
      <c r="D3" s="144"/>
      <c r="E3" s="144"/>
      <c r="F3" s="144"/>
      <c r="G3" s="144"/>
      <c r="H3" s="144"/>
      <c r="I3" s="144"/>
    </row>
    <row r="4" spans="1:6" ht="47.25">
      <c r="A4" s="1" t="s">
        <v>82</v>
      </c>
      <c r="B4" s="1" t="s">
        <v>83</v>
      </c>
      <c r="C4" s="2"/>
      <c r="D4" s="146" t="s">
        <v>228</v>
      </c>
      <c r="E4" s="26">
        <v>2697.4</v>
      </c>
      <c r="F4" s="2"/>
    </row>
    <row r="5" spans="2:6" ht="15.75">
      <c r="B5" s="3" t="s">
        <v>1</v>
      </c>
      <c r="C5" s="35">
        <v>5</v>
      </c>
      <c r="D5" s="2" t="s">
        <v>2</v>
      </c>
      <c r="E5" s="27">
        <v>60</v>
      </c>
      <c r="F5" s="2"/>
    </row>
    <row r="6" spans="2:8" ht="15.75">
      <c r="B6" s="3" t="s">
        <v>3</v>
      </c>
      <c r="C6" s="4">
        <v>4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89.25">
      <c r="A8" s="50" t="s">
        <v>61</v>
      </c>
      <c r="B8" s="257" t="s">
        <v>137</v>
      </c>
      <c r="C8" s="258"/>
      <c r="D8" s="259"/>
      <c r="E8" s="51" t="s">
        <v>6</v>
      </c>
      <c r="F8" s="51" t="s">
        <v>7</v>
      </c>
      <c r="G8" s="116" t="s">
        <v>229</v>
      </c>
      <c r="H8" s="116" t="s">
        <v>230</v>
      </c>
      <c r="I8" s="117" t="s">
        <v>231</v>
      </c>
    </row>
    <row r="9" spans="1:9" ht="38.25">
      <c r="A9" s="134">
        <v>1</v>
      </c>
      <c r="B9" s="226">
        <v>2</v>
      </c>
      <c r="C9" s="227"/>
      <c r="D9" s="266"/>
      <c r="E9" s="135">
        <v>3</v>
      </c>
      <c r="F9" s="135">
        <v>3</v>
      </c>
      <c r="G9" s="135">
        <v>4</v>
      </c>
      <c r="H9" s="135">
        <v>5</v>
      </c>
      <c r="I9" s="137" t="s">
        <v>232</v>
      </c>
    </row>
    <row r="10" spans="1:9" ht="15.75" customHeight="1">
      <c r="A10" s="52">
        <v>1</v>
      </c>
      <c r="B10" s="260" t="s">
        <v>88</v>
      </c>
      <c r="C10" s="260"/>
      <c r="D10" s="260"/>
      <c r="E10" s="260"/>
      <c r="F10" s="260"/>
      <c r="G10" s="53"/>
      <c r="H10" s="147"/>
      <c r="I10" s="118"/>
    </row>
    <row r="11" spans="1:9" ht="15.75" customHeight="1">
      <c r="A11" s="52"/>
      <c r="B11" s="212" t="s">
        <v>193</v>
      </c>
      <c r="C11" s="212"/>
      <c r="D11" s="212"/>
      <c r="E11" s="212"/>
      <c r="F11" s="212"/>
      <c r="G11" s="23">
        <f>G32</f>
        <v>10.91</v>
      </c>
      <c r="H11" s="23">
        <f>H32</f>
        <v>11.619999999999997</v>
      </c>
      <c r="I11" s="54">
        <f>ROUND($E$4*G11*6,0)+ROUND($E$4*H11*6,0)</f>
        <v>364635</v>
      </c>
    </row>
    <row r="12" spans="1:9" ht="15.75" customHeight="1">
      <c r="A12" s="52"/>
      <c r="B12" s="250" t="s">
        <v>89</v>
      </c>
      <c r="C12" s="250"/>
      <c r="D12" s="250"/>
      <c r="E12" s="250"/>
      <c r="F12" s="250"/>
      <c r="G12" s="23">
        <f>G33</f>
        <v>0.8</v>
      </c>
      <c r="H12" s="23">
        <f>H33</f>
        <v>0.85</v>
      </c>
      <c r="I12" s="54">
        <f>ROUND($E$4*G12*6,0)+ROUND($E$4*H12*6,0)</f>
        <v>26705</v>
      </c>
    </row>
    <row r="13" spans="1:9" ht="15.75" customHeight="1">
      <c r="A13" s="52">
        <v>2</v>
      </c>
      <c r="B13" s="279" t="s">
        <v>74</v>
      </c>
      <c r="C13" s="280"/>
      <c r="D13" s="280"/>
      <c r="E13" s="280"/>
      <c r="F13" s="281"/>
      <c r="G13" s="148"/>
      <c r="H13" s="149"/>
      <c r="I13" s="54"/>
    </row>
    <row r="14" spans="1:9" ht="18.75" customHeight="1">
      <c r="A14" s="52" t="s">
        <v>216</v>
      </c>
      <c r="B14" s="150" t="s">
        <v>75</v>
      </c>
      <c r="C14" s="150"/>
      <c r="D14" s="150"/>
      <c r="E14" s="150"/>
      <c r="F14" s="151"/>
      <c r="G14" s="152"/>
      <c r="H14" s="153"/>
      <c r="I14" s="54"/>
    </row>
    <row r="15" spans="1:9" ht="29.25" customHeight="1">
      <c r="A15" s="119"/>
      <c r="B15" s="270" t="s">
        <v>233</v>
      </c>
      <c r="C15" s="282"/>
      <c r="D15" s="282"/>
      <c r="E15" s="140" t="s">
        <v>32</v>
      </c>
      <c r="F15" s="154" t="s">
        <v>24</v>
      </c>
      <c r="G15" s="57">
        <v>1.12</v>
      </c>
      <c r="H15" s="156">
        <v>1.19</v>
      </c>
      <c r="I15" s="54">
        <f>ROUND($E$4*G15*6,0)+ROUND($E$4*H15*6,0)</f>
        <v>37386</v>
      </c>
    </row>
    <row r="16" spans="1:10" ht="15.75" customHeight="1">
      <c r="A16" s="119"/>
      <c r="B16" s="282" t="s">
        <v>17</v>
      </c>
      <c r="C16" s="282"/>
      <c r="D16" s="282"/>
      <c r="E16" s="140" t="s">
        <v>32</v>
      </c>
      <c r="F16" s="154" t="s">
        <v>19</v>
      </c>
      <c r="G16" s="57">
        <v>0.3</v>
      </c>
      <c r="H16" s="156">
        <v>0.32</v>
      </c>
      <c r="I16" s="54">
        <f aca="true" t="shared" si="0" ref="I16:I33">ROUND($E$4*G16*6,0)+ROUND($E$4*H16*6,0)</f>
        <v>10034</v>
      </c>
      <c r="J16" s="115"/>
    </row>
    <row r="17" spans="1:9" ht="18.75" customHeight="1">
      <c r="A17" s="119"/>
      <c r="B17" s="277" t="s">
        <v>234</v>
      </c>
      <c r="C17" s="277"/>
      <c r="D17" s="277"/>
      <c r="E17" s="129" t="s">
        <v>149</v>
      </c>
      <c r="F17" s="157" t="s">
        <v>20</v>
      </c>
      <c r="G17" s="57">
        <v>0.11</v>
      </c>
      <c r="H17" s="156">
        <v>0.12</v>
      </c>
      <c r="I17" s="54">
        <f t="shared" si="0"/>
        <v>3722</v>
      </c>
    </row>
    <row r="18" spans="1:9" ht="15.75" customHeight="1">
      <c r="A18" s="119"/>
      <c r="B18" s="276" t="s">
        <v>31</v>
      </c>
      <c r="C18" s="276"/>
      <c r="D18" s="276"/>
      <c r="E18" s="158" t="s">
        <v>9</v>
      </c>
      <c r="F18" s="159" t="s">
        <v>10</v>
      </c>
      <c r="G18" s="57">
        <v>0.54</v>
      </c>
      <c r="H18" s="156">
        <v>0.58</v>
      </c>
      <c r="I18" s="54">
        <f t="shared" si="0"/>
        <v>18127</v>
      </c>
    </row>
    <row r="19" spans="1:9" ht="51" customHeight="1">
      <c r="A19" s="119"/>
      <c r="B19" s="277" t="s">
        <v>27</v>
      </c>
      <c r="C19" s="277"/>
      <c r="D19" s="277"/>
      <c r="E19" s="129" t="s">
        <v>150</v>
      </c>
      <c r="F19" s="157" t="s">
        <v>25</v>
      </c>
      <c r="G19" s="57">
        <v>0.13</v>
      </c>
      <c r="H19" s="156">
        <v>0.14</v>
      </c>
      <c r="I19" s="54">
        <f t="shared" si="0"/>
        <v>4370</v>
      </c>
    </row>
    <row r="20" spans="1:9" ht="37.5" customHeight="1">
      <c r="A20" s="119"/>
      <c r="B20" s="277" t="s">
        <v>11</v>
      </c>
      <c r="C20" s="277"/>
      <c r="D20" s="277"/>
      <c r="E20" s="129" t="s">
        <v>9</v>
      </c>
      <c r="F20" s="157" t="s">
        <v>12</v>
      </c>
      <c r="G20" s="141">
        <v>0</v>
      </c>
      <c r="H20" s="156">
        <v>0</v>
      </c>
      <c r="I20" s="54">
        <f t="shared" si="0"/>
        <v>0</v>
      </c>
    </row>
    <row r="21" spans="1:9" ht="21" customHeight="1">
      <c r="A21" s="119"/>
      <c r="B21" s="277" t="s">
        <v>26</v>
      </c>
      <c r="C21" s="278"/>
      <c r="D21" s="278"/>
      <c r="E21" s="160" t="s">
        <v>13</v>
      </c>
      <c r="F21" s="148" t="s">
        <v>195</v>
      </c>
      <c r="G21" s="57">
        <v>0.05</v>
      </c>
      <c r="H21" s="156">
        <v>0.05</v>
      </c>
      <c r="I21" s="54">
        <f t="shared" si="0"/>
        <v>1618</v>
      </c>
    </row>
    <row r="22" spans="1:9" ht="51">
      <c r="A22" s="119"/>
      <c r="B22" s="277" t="s">
        <v>151</v>
      </c>
      <c r="C22" s="277"/>
      <c r="D22" s="277"/>
      <c r="E22" s="140" t="s">
        <v>225</v>
      </c>
      <c r="F22" s="157" t="s">
        <v>81</v>
      </c>
      <c r="G22" s="57">
        <v>1.63</v>
      </c>
      <c r="H22" s="156">
        <v>1.74</v>
      </c>
      <c r="I22" s="54">
        <f t="shared" si="0"/>
        <v>54542</v>
      </c>
    </row>
    <row r="23" spans="1:9" ht="55.5" customHeight="1">
      <c r="A23" s="119"/>
      <c r="B23" s="282" t="s">
        <v>15</v>
      </c>
      <c r="C23" s="282"/>
      <c r="D23" s="282"/>
      <c r="E23" s="140" t="s">
        <v>91</v>
      </c>
      <c r="F23" s="157" t="s">
        <v>81</v>
      </c>
      <c r="G23" s="57">
        <v>0.47</v>
      </c>
      <c r="H23" s="156">
        <v>0.5</v>
      </c>
      <c r="I23" s="54">
        <f t="shared" si="0"/>
        <v>15699</v>
      </c>
    </row>
    <row r="24" spans="1:9" ht="28.5" customHeight="1">
      <c r="A24" s="119"/>
      <c r="B24" s="277" t="s">
        <v>235</v>
      </c>
      <c r="C24" s="278"/>
      <c r="D24" s="278"/>
      <c r="E24" s="140" t="s">
        <v>36</v>
      </c>
      <c r="F24" s="157" t="s">
        <v>81</v>
      </c>
      <c r="G24" s="57">
        <v>4.32</v>
      </c>
      <c r="H24" s="155">
        <f>4.6-H25-H26</f>
        <v>4.6</v>
      </c>
      <c r="I24" s="54">
        <f t="shared" si="0"/>
        <v>144365</v>
      </c>
    </row>
    <row r="25" spans="1:9" ht="15.75" customHeight="1">
      <c r="A25" s="119"/>
      <c r="B25" s="277" t="s">
        <v>196</v>
      </c>
      <c r="C25" s="277"/>
      <c r="D25" s="277"/>
      <c r="E25" s="129" t="s">
        <v>9</v>
      </c>
      <c r="F25" s="157" t="s">
        <v>81</v>
      </c>
      <c r="G25" s="141">
        <v>0</v>
      </c>
      <c r="H25" s="156">
        <v>0</v>
      </c>
      <c r="I25" s="54">
        <f t="shared" si="0"/>
        <v>0</v>
      </c>
    </row>
    <row r="26" spans="1:9" ht="21.75" customHeight="1">
      <c r="A26" s="119"/>
      <c r="B26" s="277" t="s">
        <v>153</v>
      </c>
      <c r="C26" s="277"/>
      <c r="D26" s="277"/>
      <c r="E26" s="129" t="s">
        <v>9</v>
      </c>
      <c r="F26" s="157" t="s">
        <v>81</v>
      </c>
      <c r="G26" s="141">
        <v>0</v>
      </c>
      <c r="H26" s="156">
        <v>0</v>
      </c>
      <c r="I26" s="54">
        <f t="shared" si="0"/>
        <v>0</v>
      </c>
    </row>
    <row r="27" spans="1:9" ht="25.5">
      <c r="A27" s="119"/>
      <c r="B27" s="278" t="s">
        <v>236</v>
      </c>
      <c r="C27" s="278"/>
      <c r="D27" s="278"/>
      <c r="E27" s="140" t="s">
        <v>36</v>
      </c>
      <c r="F27" s="157" t="s">
        <v>81</v>
      </c>
      <c r="G27" s="57">
        <v>1.12</v>
      </c>
      <c r="H27" s="156">
        <v>1.19</v>
      </c>
      <c r="I27" s="54">
        <f t="shared" si="0"/>
        <v>37386</v>
      </c>
    </row>
    <row r="28" spans="1:9" ht="15.75" customHeight="1" hidden="1">
      <c r="A28" s="22"/>
      <c r="B28" s="288" t="s">
        <v>154</v>
      </c>
      <c r="C28" s="289"/>
      <c r="D28" s="290"/>
      <c r="E28" s="129" t="s">
        <v>9</v>
      </c>
      <c r="F28" s="157"/>
      <c r="G28" s="23"/>
      <c r="H28" s="156"/>
      <c r="I28" s="54">
        <f t="shared" si="0"/>
        <v>0</v>
      </c>
    </row>
    <row r="29" spans="1:9" ht="25.5" hidden="1">
      <c r="A29" s="22"/>
      <c r="B29" s="288" t="s">
        <v>155</v>
      </c>
      <c r="C29" s="289"/>
      <c r="D29" s="290"/>
      <c r="E29" s="140" t="s">
        <v>36</v>
      </c>
      <c r="F29" s="157"/>
      <c r="G29" s="23"/>
      <c r="H29" s="156"/>
      <c r="I29" s="54">
        <f t="shared" si="0"/>
        <v>0</v>
      </c>
    </row>
    <row r="30" spans="1:9" ht="15.75" customHeight="1">
      <c r="A30" s="119"/>
      <c r="B30" s="291" t="s">
        <v>30</v>
      </c>
      <c r="C30" s="292"/>
      <c r="D30" s="293"/>
      <c r="E30" s="161"/>
      <c r="F30" s="157"/>
      <c r="G30" s="162">
        <f>SUM(G15:G29)</f>
        <v>9.79</v>
      </c>
      <c r="H30" s="162">
        <f>SUM(H15:H29)</f>
        <v>10.429999999999998</v>
      </c>
      <c r="I30" s="54">
        <f t="shared" si="0"/>
        <v>327248</v>
      </c>
    </row>
    <row r="31" spans="1:9" ht="21" customHeight="1" thickBot="1">
      <c r="A31" s="52" t="s">
        <v>218</v>
      </c>
      <c r="B31" s="245" t="s">
        <v>237</v>
      </c>
      <c r="C31" s="246"/>
      <c r="D31" s="246"/>
      <c r="E31" s="101" t="s">
        <v>219</v>
      </c>
      <c r="F31" s="60" t="s">
        <v>92</v>
      </c>
      <c r="G31" s="143">
        <v>1.12</v>
      </c>
      <c r="H31" s="23">
        <v>1.19</v>
      </c>
      <c r="I31" s="54">
        <f t="shared" si="0"/>
        <v>37386</v>
      </c>
    </row>
    <row r="32" spans="1:9" ht="15.75" customHeight="1">
      <c r="A32" s="52" t="s">
        <v>220</v>
      </c>
      <c r="B32" s="283" t="s">
        <v>198</v>
      </c>
      <c r="C32" s="283"/>
      <c r="D32" s="283"/>
      <c r="E32" s="283"/>
      <c r="F32" s="283"/>
      <c r="G32" s="162">
        <f>SUM(G30:G31)</f>
        <v>10.91</v>
      </c>
      <c r="H32" s="162">
        <f>SUM(H30:H31)</f>
        <v>11.619999999999997</v>
      </c>
      <c r="I32" s="54">
        <f t="shared" si="0"/>
        <v>364635</v>
      </c>
    </row>
    <row r="33" spans="1:9" ht="24" customHeight="1" thickBot="1">
      <c r="A33" s="121" t="s">
        <v>103</v>
      </c>
      <c r="B33" s="284" t="s">
        <v>238</v>
      </c>
      <c r="C33" s="285"/>
      <c r="D33" s="286"/>
      <c r="E33" s="163" t="s">
        <v>219</v>
      </c>
      <c r="F33" s="164" t="s">
        <v>92</v>
      </c>
      <c r="G33" s="165">
        <v>0.8</v>
      </c>
      <c r="H33" s="165">
        <v>0.85</v>
      </c>
      <c r="I33" s="142">
        <f t="shared" si="0"/>
        <v>26705</v>
      </c>
    </row>
    <row r="34" spans="2:9" ht="59.25" customHeight="1">
      <c r="B34" s="287" t="s">
        <v>239</v>
      </c>
      <c r="C34" s="287"/>
      <c r="D34" s="287"/>
      <c r="E34" s="287"/>
      <c r="G34" s="166"/>
      <c r="H34" s="126"/>
      <c r="I34" s="127"/>
    </row>
    <row r="35" spans="2:9" ht="24.75" customHeight="1">
      <c r="B35" s="167"/>
      <c r="C35" s="167"/>
      <c r="D35" s="167"/>
      <c r="E35" s="167"/>
      <c r="G35" s="126"/>
      <c r="H35" s="126"/>
      <c r="I35" s="127"/>
    </row>
    <row r="36" spans="1:9" ht="15.75" customHeight="1">
      <c r="A36" s="83" t="s">
        <v>240</v>
      </c>
      <c r="B36" s="83"/>
      <c r="C36" s="83"/>
      <c r="D36" s="33"/>
      <c r="G36" s="126"/>
      <c r="H36" s="126"/>
      <c r="I36" s="127"/>
    </row>
  </sheetData>
  <sheetProtection/>
  <mergeCells count="27">
    <mergeCell ref="B34:E34"/>
    <mergeCell ref="B26:D26"/>
    <mergeCell ref="B27:D27"/>
    <mergeCell ref="B28:D28"/>
    <mergeCell ref="B29:D29"/>
    <mergeCell ref="B30:D30"/>
    <mergeCell ref="B31:D31"/>
    <mergeCell ref="B22:D22"/>
    <mergeCell ref="B23:D23"/>
    <mergeCell ref="B32:F32"/>
    <mergeCell ref="B33:D33"/>
    <mergeCell ref="B24:D24"/>
    <mergeCell ref="B25:D25"/>
    <mergeCell ref="B13:F13"/>
    <mergeCell ref="B15:D15"/>
    <mergeCell ref="B16:D16"/>
    <mergeCell ref="B17:D17"/>
    <mergeCell ref="B18:D18"/>
    <mergeCell ref="B19:D19"/>
    <mergeCell ref="B20:D20"/>
    <mergeCell ref="B21:D21"/>
    <mergeCell ref="B11:F11"/>
    <mergeCell ref="B12:F12"/>
    <mergeCell ref="A1:I1"/>
    <mergeCell ref="B8:D8"/>
    <mergeCell ref="B9:D9"/>
    <mergeCell ref="B10:F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L58"/>
  <sheetViews>
    <sheetView tabSelected="1" workbookViewId="0" topLeftCell="A25">
      <selection activeCell="A7" sqref="A7:IV53"/>
    </sheetView>
  </sheetViews>
  <sheetFormatPr defaultColWidth="9.00390625" defaultRowHeight="15.75"/>
  <cols>
    <col min="1" max="1" width="4.25390625" style="0" customWidth="1"/>
    <col min="2" max="2" width="25.125" style="0" customWidth="1"/>
    <col min="3" max="3" width="3.75390625" style="0" customWidth="1"/>
    <col min="4" max="4" width="22.875" style="0" customWidth="1"/>
    <col min="5" max="5" width="18.00390625" style="0" customWidth="1"/>
    <col min="6" max="6" width="0.12890625" style="0" hidden="1" customWidth="1"/>
    <col min="7" max="7" width="9.375" style="0" hidden="1" customWidth="1"/>
    <col min="8" max="8" width="10.375" style="0" customWidth="1"/>
    <col min="9" max="9" width="11.625" style="0" customWidth="1"/>
    <col min="10" max="10" width="23.25390625" style="0" customWidth="1"/>
    <col min="11" max="12" width="9.00390625" style="0" hidden="1" customWidth="1"/>
  </cols>
  <sheetData>
    <row r="1" spans="1:10" ht="110.25" customHeight="1">
      <c r="A1" s="205" t="s">
        <v>256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71.25" customHeight="1">
      <c r="A2" s="225" t="s">
        <v>257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6" ht="31.5">
      <c r="A3" s="1"/>
      <c r="B3" s="1" t="s">
        <v>83</v>
      </c>
      <c r="C3" s="2"/>
      <c r="D3" s="146" t="s">
        <v>228</v>
      </c>
      <c r="E3" s="26">
        <v>2697.4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2" ht="46.5" customHeight="1">
      <c r="A7" s="21" t="s">
        <v>61</v>
      </c>
      <c r="B7" s="226" t="s">
        <v>137</v>
      </c>
      <c r="C7" s="227"/>
      <c r="D7" s="228"/>
      <c r="E7" s="11" t="s">
        <v>6</v>
      </c>
      <c r="F7" s="11" t="s">
        <v>7</v>
      </c>
      <c r="G7" s="168" t="s">
        <v>249</v>
      </c>
      <c r="H7" s="229" t="s">
        <v>242</v>
      </c>
      <c r="I7" s="230"/>
      <c r="J7" s="231"/>
      <c r="K7" s="67">
        <v>4</v>
      </c>
      <c r="L7" s="169" t="s">
        <v>243</v>
      </c>
    </row>
    <row r="8" spans="1:10" ht="15.75">
      <c r="A8" s="22">
        <v>1</v>
      </c>
      <c r="B8" s="196"/>
      <c r="C8" s="197"/>
      <c r="D8" s="197"/>
      <c r="E8" s="197"/>
      <c r="F8" s="216"/>
      <c r="G8" s="170"/>
      <c r="H8" s="171" t="s">
        <v>139</v>
      </c>
      <c r="I8" s="89" t="s">
        <v>140</v>
      </c>
      <c r="J8" s="89" t="s">
        <v>141</v>
      </c>
    </row>
    <row r="9" spans="1:10" ht="15.75">
      <c r="A9" s="22"/>
      <c r="B9" s="196" t="s">
        <v>142</v>
      </c>
      <c r="C9" s="197"/>
      <c r="D9" s="197"/>
      <c r="E9" s="197"/>
      <c r="F9" s="216"/>
      <c r="G9" s="68"/>
      <c r="H9" s="68"/>
      <c r="I9" s="68"/>
      <c r="J9" s="89"/>
    </row>
    <row r="10" spans="1:10" ht="15.75">
      <c r="A10" s="91"/>
      <c r="B10" s="211" t="s">
        <v>143</v>
      </c>
      <c r="C10" s="211"/>
      <c r="D10" s="211"/>
      <c r="E10" s="211"/>
      <c r="F10" s="211"/>
      <c r="G10" s="15"/>
      <c r="H10" s="92">
        <v>126002.09</v>
      </c>
      <c r="I10" s="53"/>
      <c r="J10" s="93">
        <f>H10+I10</f>
        <v>126002.09</v>
      </c>
    </row>
    <row r="11" spans="1:10" ht="15.75">
      <c r="A11" s="91"/>
      <c r="B11" s="211" t="s">
        <v>144</v>
      </c>
      <c r="C11" s="211"/>
      <c r="D11" s="211"/>
      <c r="E11" s="211"/>
      <c r="F11" s="211"/>
      <c r="G11" s="15"/>
      <c r="H11" s="16">
        <v>7499.77</v>
      </c>
      <c r="I11" s="53"/>
      <c r="J11" s="93">
        <f>H11+I11</f>
        <v>7499.77</v>
      </c>
    </row>
    <row r="12" spans="1:10" ht="15.75">
      <c r="A12" s="22"/>
      <c r="B12" s="211" t="s">
        <v>145</v>
      </c>
      <c r="C12" s="211"/>
      <c r="D12" s="211"/>
      <c r="E12" s="211"/>
      <c r="F12" s="211"/>
      <c r="G12" s="15"/>
      <c r="H12" s="92"/>
      <c r="I12" s="53">
        <v>0</v>
      </c>
      <c r="J12" s="93">
        <f>H12+I12</f>
        <v>0</v>
      </c>
    </row>
    <row r="13" spans="1:10" ht="15.75">
      <c r="A13" s="22"/>
      <c r="B13" s="211" t="s">
        <v>146</v>
      </c>
      <c r="C13" s="211"/>
      <c r="D13" s="211"/>
      <c r="E13" s="211"/>
      <c r="F13" s="211"/>
      <c r="G13" s="15"/>
      <c r="H13" s="92">
        <v>0</v>
      </c>
      <c r="I13" s="94">
        <v>0</v>
      </c>
      <c r="J13" s="93">
        <f>H13+I13</f>
        <v>0</v>
      </c>
    </row>
    <row r="14" spans="1:10" ht="15.75">
      <c r="A14" s="22"/>
      <c r="B14" s="212" t="s">
        <v>147</v>
      </c>
      <c r="C14" s="212"/>
      <c r="D14" s="212"/>
      <c r="E14" s="212"/>
      <c r="F14" s="212"/>
      <c r="G14" s="15"/>
      <c r="H14" s="42">
        <f>SUM(H10:H12)</f>
        <v>133501.86</v>
      </c>
      <c r="I14" s="95">
        <f>SUM(I10:I12)</f>
        <v>0</v>
      </c>
      <c r="J14" s="42">
        <f>SUM(J10:J13)</f>
        <v>133501.86</v>
      </c>
    </row>
    <row r="15" spans="1:10" ht="18.75">
      <c r="A15" s="22">
        <v>2</v>
      </c>
      <c r="B15" s="265" t="s">
        <v>74</v>
      </c>
      <c r="C15" s="265"/>
      <c r="D15" s="265"/>
      <c r="E15" s="265"/>
      <c r="F15" s="265"/>
      <c r="G15" s="15"/>
      <c r="H15" s="92"/>
      <c r="I15" s="53"/>
      <c r="J15" s="34"/>
    </row>
    <row r="16" spans="1:10" ht="15.75">
      <c r="A16" s="22" t="s">
        <v>148</v>
      </c>
      <c r="B16" s="138" t="s">
        <v>75</v>
      </c>
      <c r="C16" s="138"/>
      <c r="D16" s="138"/>
      <c r="E16" s="138"/>
      <c r="F16" s="172"/>
      <c r="G16" s="171"/>
      <c r="H16" s="171"/>
      <c r="I16" s="85"/>
      <c r="J16" s="89"/>
    </row>
    <row r="17" spans="1:10" ht="33" customHeight="1">
      <c r="A17" s="96"/>
      <c r="B17" s="238" t="s">
        <v>90</v>
      </c>
      <c r="C17" s="238"/>
      <c r="D17" s="238"/>
      <c r="E17" s="140" t="s">
        <v>32</v>
      </c>
      <c r="F17" s="56" t="s">
        <v>24</v>
      </c>
      <c r="G17" s="57">
        <v>1.12</v>
      </c>
      <c r="H17" s="98">
        <f>ROUND($E$3*G17*$K$7,2)</f>
        <v>12084.35</v>
      </c>
      <c r="I17" s="99"/>
      <c r="J17" s="100">
        <f>SUM(H17:I17)</f>
        <v>12084.35</v>
      </c>
    </row>
    <row r="18" spans="1:10" ht="17.25" customHeight="1">
      <c r="A18" s="22"/>
      <c r="B18" s="239" t="s">
        <v>17</v>
      </c>
      <c r="C18" s="239"/>
      <c r="D18" s="239"/>
      <c r="E18" s="140" t="s">
        <v>32</v>
      </c>
      <c r="F18" s="56" t="s">
        <v>19</v>
      </c>
      <c r="G18" s="57">
        <v>0.3</v>
      </c>
      <c r="H18" s="98">
        <f>ROUND($E$3*G18*$K$7,2)</f>
        <v>3236.88</v>
      </c>
      <c r="I18" s="99"/>
      <c r="J18" s="100">
        <f>SUM(H18:I18)</f>
        <v>3236.88</v>
      </c>
    </row>
    <row r="19" spans="1:10" ht="20.25" customHeight="1">
      <c r="A19" s="22"/>
      <c r="B19" s="240" t="s">
        <v>23</v>
      </c>
      <c r="C19" s="240"/>
      <c r="D19" s="240"/>
      <c r="E19" s="129" t="s">
        <v>149</v>
      </c>
      <c r="F19" s="58" t="s">
        <v>20</v>
      </c>
      <c r="G19" s="57">
        <v>0.41</v>
      </c>
      <c r="H19" s="98">
        <f>J19-I19</f>
        <v>1467.18</v>
      </c>
      <c r="I19" s="99"/>
      <c r="J19" s="102">
        <v>1467.18</v>
      </c>
    </row>
    <row r="20" spans="1:10" ht="20.25" customHeight="1">
      <c r="A20" s="96"/>
      <c r="B20" s="238" t="s">
        <v>31</v>
      </c>
      <c r="C20" s="238"/>
      <c r="D20" s="238"/>
      <c r="E20" s="158" t="s">
        <v>9</v>
      </c>
      <c r="F20" s="59" t="s">
        <v>10</v>
      </c>
      <c r="G20" s="57">
        <v>0.54</v>
      </c>
      <c r="H20" s="98">
        <f>ROUND($E$3*G20*$K$7,2)</f>
        <v>5826.38</v>
      </c>
      <c r="I20" s="99"/>
      <c r="J20" s="100">
        <f>SUM(H20:I20)</f>
        <v>5826.38</v>
      </c>
    </row>
    <row r="21" spans="1:10" ht="53.25" customHeight="1">
      <c r="A21" s="22"/>
      <c r="B21" s="240" t="s">
        <v>27</v>
      </c>
      <c r="C21" s="240"/>
      <c r="D21" s="240"/>
      <c r="E21" s="129" t="s">
        <v>150</v>
      </c>
      <c r="F21" s="58" t="s">
        <v>25</v>
      </c>
      <c r="G21" s="57">
        <v>0.13</v>
      </c>
      <c r="H21" s="98">
        <f>J21-I21</f>
        <v>4152.18</v>
      </c>
      <c r="I21" s="99"/>
      <c r="J21" s="102">
        <v>4152.18</v>
      </c>
    </row>
    <row r="22" spans="1:10" ht="20.25" customHeight="1">
      <c r="A22" s="96"/>
      <c r="B22" s="240" t="s">
        <v>11</v>
      </c>
      <c r="C22" s="240"/>
      <c r="D22" s="240"/>
      <c r="E22" s="129" t="s">
        <v>9</v>
      </c>
      <c r="F22" s="58" t="s">
        <v>12</v>
      </c>
      <c r="G22" s="141">
        <v>0</v>
      </c>
      <c r="H22" s="98">
        <f>ROUND($E$3*G22*$K$7,2)</f>
        <v>0</v>
      </c>
      <c r="I22" s="99"/>
      <c r="J22" s="102">
        <f>H22</f>
        <v>0</v>
      </c>
    </row>
    <row r="23" spans="1:10" ht="20.25" customHeight="1">
      <c r="A23" s="96"/>
      <c r="B23" s="240" t="s">
        <v>26</v>
      </c>
      <c r="C23" s="241"/>
      <c r="D23" s="241"/>
      <c r="E23" s="160" t="s">
        <v>13</v>
      </c>
      <c r="F23" s="55" t="s">
        <v>14</v>
      </c>
      <c r="G23" s="57">
        <v>0.05</v>
      </c>
      <c r="H23" s="98">
        <f>J23-I23</f>
        <v>819</v>
      </c>
      <c r="I23" s="99"/>
      <c r="J23" s="102">
        <v>819</v>
      </c>
    </row>
    <row r="24" spans="1:10" ht="51.75" customHeight="1">
      <c r="A24" s="22"/>
      <c r="B24" s="240" t="s">
        <v>151</v>
      </c>
      <c r="C24" s="240"/>
      <c r="D24" s="240"/>
      <c r="E24" s="140" t="s">
        <v>225</v>
      </c>
      <c r="F24" s="40" t="s">
        <v>81</v>
      </c>
      <c r="G24" s="57">
        <v>1.63</v>
      </c>
      <c r="H24" s="98">
        <f aca="true" t="shared" si="0" ref="H24:H29">ROUND($E$3*G24*$K$7,2)</f>
        <v>17587.05</v>
      </c>
      <c r="I24" s="99"/>
      <c r="J24" s="100">
        <f aca="true" t="shared" si="1" ref="J24:J29">SUM(H24:I24)</f>
        <v>17587.05</v>
      </c>
    </row>
    <row r="25" spans="1:10" ht="53.25" customHeight="1">
      <c r="A25" s="22"/>
      <c r="B25" s="239" t="s">
        <v>15</v>
      </c>
      <c r="C25" s="239"/>
      <c r="D25" s="239"/>
      <c r="E25" s="140" t="s">
        <v>91</v>
      </c>
      <c r="F25" s="40" t="s">
        <v>81</v>
      </c>
      <c r="G25" s="57">
        <v>0.47</v>
      </c>
      <c r="H25" s="98">
        <f>J25-I25</f>
        <v>5084.08</v>
      </c>
      <c r="I25" s="99"/>
      <c r="J25" s="100">
        <v>5084.08</v>
      </c>
    </row>
    <row r="26" spans="1:10" ht="30" customHeight="1">
      <c r="A26" s="22"/>
      <c r="B26" s="295" t="s">
        <v>37</v>
      </c>
      <c r="C26" s="236"/>
      <c r="D26" s="237"/>
      <c r="E26" s="140" t="s">
        <v>36</v>
      </c>
      <c r="F26" s="40" t="s">
        <v>81</v>
      </c>
      <c r="G26" s="57">
        <v>4.32</v>
      </c>
      <c r="H26" s="98">
        <f t="shared" si="0"/>
        <v>46611.07</v>
      </c>
      <c r="I26" s="106"/>
      <c r="J26" s="100">
        <f t="shared" si="1"/>
        <v>46611.07</v>
      </c>
    </row>
    <row r="27" spans="1:10" ht="26.25" customHeight="1">
      <c r="A27" s="96"/>
      <c r="B27" s="240" t="s">
        <v>152</v>
      </c>
      <c r="C27" s="240"/>
      <c r="D27" s="240"/>
      <c r="E27" s="129" t="s">
        <v>9</v>
      </c>
      <c r="F27" s="40" t="s">
        <v>81</v>
      </c>
      <c r="G27" s="141">
        <v>0</v>
      </c>
      <c r="H27" s="98">
        <f t="shared" si="0"/>
        <v>0</v>
      </c>
      <c r="I27" s="106"/>
      <c r="J27" s="100">
        <f t="shared" si="1"/>
        <v>0</v>
      </c>
    </row>
    <row r="28" spans="1:10" ht="17.25" customHeight="1">
      <c r="A28" s="22"/>
      <c r="B28" s="240" t="s">
        <v>153</v>
      </c>
      <c r="C28" s="240"/>
      <c r="D28" s="240"/>
      <c r="E28" s="129" t="s">
        <v>9</v>
      </c>
      <c r="F28" s="40" t="s">
        <v>81</v>
      </c>
      <c r="G28" s="141">
        <v>0</v>
      </c>
      <c r="H28" s="98">
        <f t="shared" si="0"/>
        <v>0</v>
      </c>
      <c r="I28" s="106"/>
      <c r="J28" s="100">
        <f t="shared" si="1"/>
        <v>0</v>
      </c>
    </row>
    <row r="29" spans="1:10" ht="29.25" customHeight="1">
      <c r="A29" s="22"/>
      <c r="B29" s="241" t="s">
        <v>21</v>
      </c>
      <c r="C29" s="241"/>
      <c r="D29" s="241"/>
      <c r="E29" s="140" t="s">
        <v>36</v>
      </c>
      <c r="F29" s="40" t="s">
        <v>81</v>
      </c>
      <c r="G29" s="57">
        <v>1.12</v>
      </c>
      <c r="H29" s="98">
        <f t="shared" si="0"/>
        <v>12084.35</v>
      </c>
      <c r="I29" s="99"/>
      <c r="J29" s="100">
        <f t="shared" si="1"/>
        <v>12084.35</v>
      </c>
    </row>
    <row r="30" spans="1:10" ht="15.75">
      <c r="A30" s="22"/>
      <c r="B30" s="235"/>
      <c r="C30" s="236"/>
      <c r="D30" s="237"/>
      <c r="E30" s="101"/>
      <c r="F30" s="40"/>
      <c r="G30" s="55"/>
      <c r="H30" s="105"/>
      <c r="I30" s="94"/>
      <c r="J30" s="107"/>
    </row>
    <row r="31" spans="1:10" ht="15.75">
      <c r="A31" s="22"/>
      <c r="B31" s="294" t="s">
        <v>30</v>
      </c>
      <c r="C31" s="294"/>
      <c r="D31" s="294"/>
      <c r="E31" s="22"/>
      <c r="F31" s="40"/>
      <c r="G31" s="23">
        <f>SUM(G17:G29)</f>
        <v>10.09</v>
      </c>
      <c r="H31" s="114">
        <f>SUM(H17:H30)</f>
        <v>108952.52000000002</v>
      </c>
      <c r="I31" s="95"/>
      <c r="J31" s="114">
        <f>SUM(J17:J30)</f>
        <v>108952.52000000002</v>
      </c>
    </row>
    <row r="32" spans="1:10" ht="15.75" hidden="1">
      <c r="A32" s="22"/>
      <c r="B32" s="232" t="s">
        <v>154</v>
      </c>
      <c r="C32" s="233"/>
      <c r="D32" s="234"/>
      <c r="E32" s="101" t="s">
        <v>9</v>
      </c>
      <c r="F32" s="40"/>
      <c r="G32" s="55"/>
      <c r="H32" s="105"/>
      <c r="I32" s="94"/>
      <c r="J32" s="107"/>
    </row>
    <row r="33" spans="1:10" ht="25.5" hidden="1">
      <c r="A33" s="22"/>
      <c r="B33" s="232" t="s">
        <v>155</v>
      </c>
      <c r="C33" s="233"/>
      <c r="D33" s="234"/>
      <c r="E33" s="97" t="s">
        <v>36</v>
      </c>
      <c r="F33" s="40"/>
      <c r="G33" s="55"/>
      <c r="H33" s="105"/>
      <c r="I33" s="94"/>
      <c r="J33" s="107"/>
    </row>
    <row r="34" spans="1:10" ht="15.75" hidden="1">
      <c r="A34" s="22"/>
      <c r="B34" s="235"/>
      <c r="C34" s="236"/>
      <c r="D34" s="237"/>
      <c r="E34" s="101"/>
      <c r="F34" s="40"/>
      <c r="G34" s="55"/>
      <c r="H34" s="105"/>
      <c r="I34" s="94"/>
      <c r="J34" s="107"/>
    </row>
    <row r="35" spans="1:10" ht="15" customHeight="1">
      <c r="A35" s="22" t="s">
        <v>156</v>
      </c>
      <c r="B35" s="245" t="s">
        <v>157</v>
      </c>
      <c r="C35" s="246"/>
      <c r="D35" s="246"/>
      <c r="E35" s="247"/>
      <c r="F35" s="40" t="s">
        <v>81</v>
      </c>
      <c r="G35" s="23">
        <f>H35/E3/$K$7</f>
        <v>0</v>
      </c>
      <c r="H35" s="173">
        <v>0</v>
      </c>
      <c r="I35" s="110"/>
      <c r="J35" s="42">
        <f>SUM(H35:I35)</f>
        <v>0</v>
      </c>
    </row>
    <row r="36" spans="1:10" ht="14.25" customHeight="1">
      <c r="A36" s="25"/>
      <c r="B36" s="242" t="s">
        <v>76</v>
      </c>
      <c r="C36" s="242"/>
      <c r="D36" s="242"/>
      <c r="E36" s="242"/>
      <c r="F36" s="242"/>
      <c r="G36" s="23">
        <f>SUM(G31:G35)</f>
        <v>10.09</v>
      </c>
      <c r="H36" s="174">
        <f>SUM(H31:H35)</f>
        <v>108952.52000000002</v>
      </c>
      <c r="I36" s="175"/>
      <c r="J36" s="174">
        <f>SUM(J31:J35)</f>
        <v>108952.52000000002</v>
      </c>
    </row>
    <row r="37" spans="1:10" ht="15.75">
      <c r="A37" s="22" t="s">
        <v>158</v>
      </c>
      <c r="B37" s="242" t="s">
        <v>159</v>
      </c>
      <c r="C37" s="242"/>
      <c r="D37" s="242"/>
      <c r="E37" s="242"/>
      <c r="F37" s="242"/>
      <c r="G37" s="23">
        <f>H37/E3/$K$7</f>
        <v>0</v>
      </c>
      <c r="H37" s="112">
        <v>0</v>
      </c>
      <c r="I37" s="112"/>
      <c r="J37" s="113">
        <f>SUM(H37:I37)</f>
        <v>0</v>
      </c>
    </row>
    <row r="38" spans="1:10" ht="24.75" customHeight="1">
      <c r="A38" s="25"/>
      <c r="B38" s="242" t="s">
        <v>160</v>
      </c>
      <c r="C38" s="242"/>
      <c r="D38" s="242"/>
      <c r="E38" s="242"/>
      <c r="F38" s="242"/>
      <c r="G38" s="23">
        <f>SUM(G36:G37)</f>
        <v>10.09</v>
      </c>
      <c r="H38" s="174">
        <f>SUM(H36:H37)</f>
        <v>108952.52000000002</v>
      </c>
      <c r="I38" s="175"/>
      <c r="J38" s="174">
        <f>SUM(J36:J37)</f>
        <v>108952.52000000002</v>
      </c>
    </row>
    <row r="39" spans="1:10" ht="27" customHeight="1">
      <c r="A39" s="22">
        <v>3</v>
      </c>
      <c r="B39" s="217" t="s">
        <v>244</v>
      </c>
      <c r="C39" s="218"/>
      <c r="D39" s="218"/>
      <c r="E39" s="218"/>
      <c r="F39" s="218"/>
      <c r="G39" s="145"/>
      <c r="H39" s="98">
        <f>H14-H38</f>
        <v>24549.339999999967</v>
      </c>
      <c r="I39" s="98"/>
      <c r="J39" s="95">
        <f>J14-J38</f>
        <v>24549.339999999967</v>
      </c>
    </row>
    <row r="40" spans="2:6" ht="15.75">
      <c r="B40" s="33"/>
      <c r="F40" s="33"/>
    </row>
    <row r="41" spans="2:9" ht="36" customHeight="1">
      <c r="B41" s="244" t="s">
        <v>245</v>
      </c>
      <c r="C41" s="244"/>
      <c r="D41" s="244"/>
      <c r="E41" s="244"/>
      <c r="F41" s="244"/>
      <c r="G41" s="244"/>
      <c r="H41" s="244"/>
      <c r="I41" s="244"/>
    </row>
    <row r="42" spans="2:4" ht="25.5" customHeight="1">
      <c r="B42" s="33"/>
      <c r="C42" s="33"/>
      <c r="D42" s="33"/>
    </row>
    <row r="43" spans="2:4" ht="15.75">
      <c r="B43" s="37" t="s">
        <v>79</v>
      </c>
      <c r="C43" s="37"/>
      <c r="D43" s="37"/>
    </row>
    <row r="44" spans="2:4" ht="15.75">
      <c r="B44" s="38" t="s">
        <v>246</v>
      </c>
      <c r="C44" s="38"/>
      <c r="D44" s="37"/>
    </row>
    <row r="45" spans="2:4" ht="15.75" customHeight="1">
      <c r="B45" s="210" t="s">
        <v>247</v>
      </c>
      <c r="C45" s="210"/>
      <c r="D45" s="210"/>
    </row>
    <row r="47" ht="15.75">
      <c r="B47" t="s">
        <v>248</v>
      </c>
    </row>
    <row r="48" ht="15.75">
      <c r="J48" s="126"/>
    </row>
    <row r="49" ht="15.75">
      <c r="J49" s="126"/>
    </row>
    <row r="50" ht="15.75">
      <c r="J50" s="126"/>
    </row>
    <row r="51" ht="15.75">
      <c r="J51" s="126"/>
    </row>
    <row r="52" ht="15.75">
      <c r="J52" s="126"/>
    </row>
    <row r="53" ht="15.75">
      <c r="J53" s="126"/>
    </row>
    <row r="54" ht="15.75">
      <c r="J54" s="126"/>
    </row>
    <row r="55" ht="15.75">
      <c r="J55" s="126"/>
    </row>
    <row r="56" ht="15.75">
      <c r="J56" s="126"/>
    </row>
    <row r="57" ht="15.75">
      <c r="J57" s="126"/>
    </row>
    <row r="58" ht="15.75">
      <c r="J58" s="126"/>
    </row>
  </sheetData>
  <mergeCells count="37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36:F36"/>
    <mergeCell ref="B39:F39"/>
    <mergeCell ref="B45:D45"/>
    <mergeCell ref="B37:F37"/>
    <mergeCell ref="B38:F38"/>
    <mergeCell ref="B41:I41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2013-02-28T09:03:40Z</cp:lastPrinted>
  <dcterms:created xsi:type="dcterms:W3CDTF">2009-08-26T03:25:10Z</dcterms:created>
  <dcterms:modified xsi:type="dcterms:W3CDTF">2013-05-08T04:50:31Z</dcterms:modified>
  <cp:category/>
  <cp:version/>
  <cp:contentType/>
  <cp:contentStatus/>
</cp:coreProperties>
</file>