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580" firstSheet="5" activeTab="5"/>
  </bookViews>
  <sheets>
    <sheet name="2008" sheetId="1" r:id="rId1"/>
    <sheet name="отчет 2009" sheetId="2" r:id="rId2"/>
    <sheet name="отчет 2010" sheetId="3" state="hidden" r:id="rId3"/>
    <sheet name="смета 2011" sheetId="4" state="hidden" r:id="rId4"/>
    <sheet name="отчет 2011" sheetId="5" state="hidden" r:id="rId5"/>
    <sheet name="смета 2012" sheetId="6" r:id="rId6"/>
    <sheet name="01.13" sheetId="7" state="hidden" r:id="rId7"/>
    <sheet name="план2013" sheetId="8" state="hidden" r:id="rId8"/>
    <sheet name="Лист1" sheetId="9" state="hidden" r:id="rId9"/>
    <sheet name="накопит отчет" sheetId="10" state="hidden" r:id="rId10"/>
  </sheets>
  <definedNames/>
  <calcPr fullCalcOnLoad="1"/>
</workbook>
</file>

<file path=xl/sharedStrings.xml><?xml version="1.0" encoding="utf-8"?>
<sst xmlns="http://schemas.openxmlformats.org/spreadsheetml/2006/main" count="778" uniqueCount="252">
  <si>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</si>
  <si>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</si>
  <si>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</si>
  <si>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</si>
  <si>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</si>
  <si>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</si>
  <si>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</si>
  <si>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</si>
  <si>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</si>
  <si>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</si>
  <si>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</si>
  <si>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</si>
  <si>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</si>
  <si>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</si>
  <si>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</si>
  <si>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</si>
  <si>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</si>
  <si>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</si>
  <si>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</si>
  <si>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</si>
  <si>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</si>
  <si>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</si>
  <si>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</si>
  <si>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</si>
  <si>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</si>
  <si>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</si>
  <si>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</si>
  <si>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</si>
  <si>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</si>
  <si>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</si>
  <si>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</si>
  <si>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</si>
  <si>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</si>
  <si>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</si>
  <si>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</si>
  <si>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</si>
  <si>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</si>
  <si>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</si>
  <si>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</si>
  <si>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</si>
  <si>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</si>
  <si>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</si>
  <si>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</si>
  <si>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</si>
  <si>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</si>
  <si>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</si>
  <si>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</si>
  <si>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</si>
  <si>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</si>
  <si>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</si>
  <si>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</si>
  <si>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</si>
  <si>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</si>
  <si>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</si>
  <si>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</si>
  <si>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</si>
  <si>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</si>
  <si>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</si>
  <si>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</si>
  <si>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</si>
  <si>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</si>
  <si>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</si>
  <si>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</si>
  <si>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</si>
  <si>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</si>
  <si>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</si>
  <si>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</si>
  <si>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</si>
  <si>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</si>
  <si>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</si>
  <si>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</si>
  <si>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</si>
  <si>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</si>
  <si>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</si>
  <si>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</si>
  <si>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</si>
  <si>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</si>
  <si>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</si>
  <si>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</si>
  <si>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</si>
  <si>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</si>
  <si>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</si>
  <si>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</si>
  <si>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>Председатель ТСЖ                                                               В.И. Карпова</t>
  </si>
  <si>
    <t xml:space="preserve">                  Товарищество собственников жилья "ТСЖ - 28", в лице председателя Карповой В.И., действующего на основании Устава,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</si>
  <si>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Добровольского, 5</t>
  </si>
  <si>
    <t>Претензий по управлению нет (да)</t>
  </si>
  <si>
    <t>ОТЧЕТ
о выполненных работах в 2008 году по договору управления МКД №366 от 28.03.2008 г., заключенного между ООО "ОЖКС № 6" и ТСЖ - 28
по адресу:  ул. Добровольского, 5</t>
  </si>
  <si>
    <t xml:space="preserve">        Товарищество собственников жилья "ТСЖ - 28" в лице председателя Карповой В.И., действующего на основании Устава, с одной стороны и Общество с Ограниченной Ответственностью "Октябрьский Жилкомсервис №6"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</si>
  <si>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</si>
  <si>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</si>
  <si>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</si>
  <si>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</si>
  <si>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</si>
  <si>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</si>
  <si>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</si>
  <si>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</si>
  <si>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</si>
  <si>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</si>
  <si>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</si>
  <si>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</si>
  <si>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</si>
  <si>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</si>
  <si>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Количество зарегистрированных на 01.01.09г.</t>
  </si>
  <si>
    <t>чел.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</si>
  <si>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</si>
  <si>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</si>
  <si>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</si>
  <si>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</si>
  <si>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</si>
  <si>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</si>
  <si>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</si>
  <si>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</si>
  <si>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</si>
  <si>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</si>
  <si>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</si>
  <si>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</si>
  <si>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</si>
  <si>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</si>
  <si>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</si>
  <si>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</si>
  <si>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</si>
  <si>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</si>
  <si>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</si>
  <si>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</si>
  <si>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</si>
  <si>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</si>
  <si>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</si>
  <si>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6                                              Л.И. Никашина                               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</si>
  <si>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</si>
  <si>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</si>
  <si>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</si>
  <si>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</si>
  <si>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</si>
  <si>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</si>
  <si>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6"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</si>
  <si>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</si>
  <si>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</si>
  <si>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</si>
  <si>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</si>
  <si>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</si>
  <si>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</si>
  <si>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</si>
  <si>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</si>
  <si>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</si>
  <si>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</si>
  <si>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</si>
  <si>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</si>
  <si>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</si>
  <si>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</si>
  <si>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</si>
  <si>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</si>
  <si>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</si>
  <si>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</si>
  <si>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</si>
  <si>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</si>
  <si>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</si>
  <si>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</si>
  <si>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</si>
  <si>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</si>
  <si>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</si>
  <si>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</si>
  <si>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</si>
  <si>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</si>
  <si>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</si>
  <si>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</si>
  <si>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</si>
  <si>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r>
      <t xml:space="preserve">результат
 </t>
    </r>
    <r>
      <rPr>
        <b/>
        <sz val="12"/>
        <color indexed="10"/>
        <rFont val="Times New Roman"/>
        <family val="1"/>
      </rPr>
      <t>за год</t>
    </r>
    <r>
      <rPr>
        <b/>
        <sz val="12"/>
        <rFont val="Times New Roman"/>
        <family val="1"/>
      </rPr>
      <t xml:space="preserve">
(+эконом., 
-перерасх.)</t>
    </r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</si>
  <si>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</si>
  <si>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</si>
  <si>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</si>
  <si>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</si>
  <si>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</si>
  <si>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</si>
  <si>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</si>
  <si>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</si>
  <si>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</si>
  <si>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</si>
  <si>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</si>
  <si>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</si>
  <si>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</si>
  <si>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</si>
  <si>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</si>
  <si>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</si>
  <si>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</si>
  <si>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</si>
  <si>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</si>
  <si>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</si>
  <si>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</si>
  <si>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</si>
  <si>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2013г</t>
  </si>
  <si>
    <t>Итого</t>
  </si>
  <si>
    <t>ОТЧЕТ
за  2009 г. о выполненнии условий  договора управления МКД
№ 366/6 от 28.03.2008 г., заключенного между ООО "ОЖКС №6" и ТСЖ - 28
по адресу:  ул. Добровольского, 5</t>
  </si>
  <si>
    <t>ОТЧЕТ
за  2010 г. о выполненнии условий  договора управления МКД 
№ 366/6 от 28.03.2008 г., заключенного между ООО "ОЖКС №6" и ТСЖ - 28
по адресу:  ул. Добровольского, 5</t>
  </si>
  <si>
    <t>ОТЧЕТ
по  договору управления МКД 
№ 366/6 от 28.03.2008 г., заключенного между ООО "ОЖКС №6" и ТСЖ - 28
по адресу:  ул. Добровольского, 5</t>
  </si>
  <si>
    <t xml:space="preserve">                 Товарищество собственников жилья "ТСЖ - 28", в лице председателя Карповой В.И.,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2010 году.  </t>
  </si>
  <si>
    <t xml:space="preserve">Директор ООО "ОЖКС № 6"                                                                     Л.И. Никашина                               </t>
  </si>
  <si>
    <t>Смета
доходов и расходов  на  2011 г.
согласно договора управления МКД 
№366/6 от 28.03.2008 г., заключенного между 
ООО "ОЖКС №6" и ТСЖ - 28
по адресу:  ул. Добровольского, 5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</si>
  <si>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</si>
  <si>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</si>
  <si>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контейнерных площадок</t>
    </r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</si>
  <si>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</si>
  <si>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</si>
  <si>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</si>
  <si>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</si>
  <si>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</si>
  <si>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 xml:space="preserve">Директор ООО "ОЖКС № 6"                                                                         Л.И. Никашина                           </t>
  </si>
  <si>
    <t>ОТЧЕТ
за  2011 г. о выполненнии условий  договора управления МКД 
№ 366/6 от 28.03.2008 г., заключенного между ООО "ОЖКС №6" и ТСЖ - 28
по адресу:  ул. Добровольского, 5</t>
  </si>
  <si>
    <t xml:space="preserve">                 Товарищество собственников жилья "ТСЖ - 28", в лице председателя 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2011 году.  </t>
  </si>
  <si>
    <t xml:space="preserve">Финансовый результат за 2011г. (+ экономия,- перерасход)                                                      </t>
  </si>
  <si>
    <t>Председатель ТСЖ                                                              _____________________________</t>
  </si>
  <si>
    <t>Смета
доходов и расходов  на  2012 г.
согласно договора управления МКД 
№366/6 от 28.03.2008 г., заключенного между 
ООО "ОЖКС №6" и ТСЖ - 28
по адресу:  ул. Добровольского, 5</t>
  </si>
  <si>
    <t xml:space="preserve"> Текущий ремонт общего имущества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</si>
  <si>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</si>
  <si>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</si>
  <si>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r>
      <t xml:space="preserve">Сбор, вывоз  бытового мусора, содержание  </t>
    </r>
    <r>
      <rPr>
        <sz val="12"/>
        <rFont val="Times New Roman"/>
        <family val="1"/>
      </rPr>
      <t>контейнерных площадок</t>
    </r>
  </si>
  <si>
    <t>По заявлению жителей в подъезде № 1 кв. 1-15 уборка лестнечних клеток непроизводится с 01.09.11г</t>
  </si>
  <si>
    <t>10 мес.2012г</t>
  </si>
  <si>
    <t>Тариф 
на 1 кв.м.декабрь 2012г.
руб.</t>
  </si>
  <si>
    <t>Стоимость работ декабрь 2012г.             руб.</t>
  </si>
  <si>
    <t>1.1.</t>
  </si>
  <si>
    <t>1.2.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</si>
  <si>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</si>
  <si>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</si>
  <si>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</si>
  <si>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</si>
  <si>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</si>
  <si>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</si>
  <si>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</si>
  <si>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t>подметание асфальта -   1 раз/неделю,                
подбор мусора - ежедневно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</si>
  <si>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</si>
  <si>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Управление  </t>
  </si>
  <si>
    <t xml:space="preserve"> Текущий ремонт общего имущества  </t>
  </si>
  <si>
    <t>по плану работ</t>
  </si>
  <si>
    <t>1.3.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</si>
  <si>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</si>
  <si>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</si>
  <si>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</si>
  <si>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/6 от 2012 г., 
заключенного между ООО "ОЖКС № 6"   
и собственниками многоквартирного дома
по адресу:  ул. Добровольского, 5</t>
  </si>
  <si>
    <t>Тариф 
на 1 кв.м. с 01.01.13г. по 30.06.13г.
руб.</t>
  </si>
  <si>
    <t>Тариф 
на 1 кв.м. с 01.07.13г. по 31.12.13г.
руб.</t>
  </si>
  <si>
    <t>Стоимость работ
январь-декабрь 2013г.                      руб.</t>
  </si>
  <si>
    <t>6=(гр.4*Sдома*6мес)+(гр.5*Sдома*6мес)</t>
  </si>
  <si>
    <t>Тариф с 1 января 2013 г. - 10,91 руб., капитальный ремонт - 0,80 руб.</t>
  </si>
  <si>
    <t>Тариф с 1 июля 2013 г.   - 11,62 руб.,   капитальный ремонт - 0,85 руб.</t>
  </si>
  <si>
    <t xml:space="preserve">         Приложение №7 к Договору 
на оказание услуг и  выполнение работ   
по содержанию, текущему и капитальному ремонту  
общего имущества МКД № ___ от "____"___________20__г.</t>
  </si>
  <si>
    <t>Расчет стоимости договора и тарифа 1 м2 на 2013г.</t>
  </si>
  <si>
    <t xml:space="preserve">           Представитель собственников</t>
  </si>
  <si>
    <t xml:space="preserve">            ________________________</t>
  </si>
  <si>
    <t xml:space="preserve">Директор ООО "ОЖКС № 6"                                                                       </t>
  </si>
  <si>
    <t>________________ Л.И.Никашина</t>
  </si>
  <si>
    <t xml:space="preserve">Справочно: увеличение тарифа с 1 июля 2013г. на 6,5% в соответствии с прогнозом индекса инфляции с последующей корректировкой в течение года в случае изменения индекса.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</si>
</sst>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_ ;[Red]\-#,##0\ "/>
    <numFmt numFmtId="172" formatCode="#,##0.0_ ;[Red]\-#,##0.0\ "/>
  </numFmts>
  <fonts count="3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/>
    </xf>
    <xf numFmtId="0" fontId="2" fillId="24" borderId="10" xfId="0" applyFont="1" applyFill="1" applyBorder="1" applyAlignment="1">
      <alignment/>
    </xf>
    <xf numFmtId="4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4" fontId="0" fillId="0" borderId="0" xfId="0" applyNumberFormat="1" applyAlignment="1">
      <alignment/>
    </xf>
    <xf numFmtId="164" fontId="10" fillId="0" borderId="15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171" fontId="0" fillId="0" borderId="10" xfId="0" applyNumberFormat="1" applyFont="1" applyBorder="1" applyAlignment="1">
      <alignment horizontal="center" vertical="center"/>
    </xf>
    <xf numFmtId="171" fontId="0" fillId="0" borderId="13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24" borderId="10" xfId="0" applyFont="1" applyFill="1" applyBorder="1" applyAlignment="1">
      <alignment horizontal="left" vertical="center" wrapText="1" inden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justify" vertical="center" wrapText="1" shrinkToFit="1"/>
    </xf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9" fillId="0" borderId="35" xfId="0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6">
      <selection activeCell="E25" sqref="E25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375" style="0" customWidth="1"/>
    <col min="5" max="5" width="14.125" style="0" customWidth="1"/>
  </cols>
  <sheetData>
    <row r="1" spans="1:4" ht="104.25" customHeight="1">
      <c r="A1" s="201" t="s">
        <v>87</v>
      </c>
      <c r="B1" s="202"/>
      <c r="C1" s="202"/>
      <c r="D1" s="202"/>
    </row>
    <row r="2" spans="1:5" ht="87.75" customHeight="1">
      <c r="A2" s="203" t="s">
        <v>88</v>
      </c>
      <c r="B2" s="204"/>
      <c r="C2" s="204"/>
      <c r="D2" s="204"/>
      <c r="E2" t="s">
        <v>80</v>
      </c>
    </row>
    <row r="3" spans="1:5" ht="33" customHeight="1">
      <c r="A3" s="22" t="s">
        <v>89</v>
      </c>
      <c r="B3" s="22" t="s">
        <v>90</v>
      </c>
      <c r="C3" s="11" t="s">
        <v>91</v>
      </c>
      <c r="D3" s="50" t="s">
        <v>92</v>
      </c>
      <c r="E3" s="51" t="s">
        <v>93</v>
      </c>
    </row>
    <row r="4" spans="1:5" ht="18.75" customHeight="1">
      <c r="A4" s="52" t="s">
        <v>94</v>
      </c>
      <c r="B4" s="53" t="s">
        <v>95</v>
      </c>
      <c r="C4" s="11" t="s">
        <v>96</v>
      </c>
      <c r="D4" s="54">
        <v>5</v>
      </c>
      <c r="E4" s="54">
        <v>5</v>
      </c>
    </row>
    <row r="5" spans="1:5" ht="15.75">
      <c r="A5" s="55" t="s">
        <v>97</v>
      </c>
      <c r="B5" s="56" t="s">
        <v>98</v>
      </c>
      <c r="C5" s="57" t="s">
        <v>99</v>
      </c>
      <c r="D5" s="58">
        <v>2716.2</v>
      </c>
      <c r="E5" s="58">
        <v>2716.2</v>
      </c>
    </row>
    <row r="6" spans="1:5" ht="14.25" customHeight="1">
      <c r="A6" s="55" t="s">
        <v>100</v>
      </c>
      <c r="B6" s="56" t="s">
        <v>101</v>
      </c>
      <c r="C6" s="57" t="s">
        <v>96</v>
      </c>
      <c r="D6" s="59">
        <v>60</v>
      </c>
      <c r="E6" s="59">
        <v>60</v>
      </c>
    </row>
    <row r="7" spans="1:5" ht="15.75">
      <c r="A7" s="55" t="s">
        <v>102</v>
      </c>
      <c r="B7" s="56" t="s">
        <v>103</v>
      </c>
      <c r="C7" s="57" t="s">
        <v>104</v>
      </c>
      <c r="D7" s="58"/>
      <c r="E7" s="58"/>
    </row>
    <row r="8" spans="1:5" ht="16.5" customHeight="1">
      <c r="A8" s="55" t="s">
        <v>102</v>
      </c>
      <c r="B8" s="56" t="s">
        <v>105</v>
      </c>
      <c r="C8" s="49"/>
      <c r="D8" s="58"/>
      <c r="E8" s="58"/>
    </row>
    <row r="9" spans="1:5" ht="15.75">
      <c r="A9" s="60" t="s">
        <v>106</v>
      </c>
      <c r="B9" s="56" t="s">
        <v>107</v>
      </c>
      <c r="C9" s="49"/>
      <c r="D9" s="58"/>
      <c r="E9" s="58"/>
    </row>
    <row r="10" spans="1:5" ht="17.25" customHeight="1">
      <c r="A10" s="61"/>
      <c r="B10" s="34" t="s">
        <v>108</v>
      </c>
      <c r="C10" s="49" t="s">
        <v>109</v>
      </c>
      <c r="D10" s="58">
        <v>178909.47</v>
      </c>
      <c r="E10" s="58">
        <v>178909.47</v>
      </c>
    </row>
    <row r="11" spans="1:5" ht="16.5" customHeight="1">
      <c r="A11" s="61"/>
      <c r="B11" s="34" t="s">
        <v>110</v>
      </c>
      <c r="C11" s="49" t="s">
        <v>109</v>
      </c>
      <c r="D11" s="58">
        <v>173815.63</v>
      </c>
      <c r="E11" s="58">
        <v>173815.63</v>
      </c>
    </row>
    <row r="12" spans="1:5" ht="15.75">
      <c r="A12" s="61"/>
      <c r="B12" s="56" t="s">
        <v>111</v>
      </c>
      <c r="C12" s="57" t="s">
        <v>109</v>
      </c>
      <c r="D12" s="62">
        <f>D10-D11</f>
        <v>5093.8399999999965</v>
      </c>
      <c r="E12" s="62">
        <f>E10-E11</f>
        <v>5093.8399999999965</v>
      </c>
    </row>
    <row r="13" spans="1:5" ht="18" customHeight="1">
      <c r="A13" s="60" t="s">
        <v>112</v>
      </c>
      <c r="B13" s="56" t="s">
        <v>113</v>
      </c>
      <c r="C13" s="49"/>
      <c r="D13" s="58"/>
      <c r="E13" s="58"/>
    </row>
    <row r="14" spans="1:5" ht="15.75">
      <c r="A14" s="61"/>
      <c r="B14" s="34" t="s">
        <v>108</v>
      </c>
      <c r="C14" s="49" t="s">
        <v>109</v>
      </c>
      <c r="D14" s="58">
        <v>14618.2</v>
      </c>
      <c r="E14" s="58"/>
    </row>
    <row r="15" spans="1:5" ht="15.75" customHeight="1">
      <c r="A15" s="61"/>
      <c r="B15" s="34" t="s">
        <v>110</v>
      </c>
      <c r="C15" s="49" t="s">
        <v>109</v>
      </c>
      <c r="D15" s="58">
        <v>14492.67</v>
      </c>
      <c r="E15" s="58"/>
    </row>
    <row r="16" spans="1:5" ht="15.75" customHeight="1">
      <c r="A16" s="61"/>
      <c r="B16" s="56" t="s">
        <v>111</v>
      </c>
      <c r="C16" s="57" t="s">
        <v>109</v>
      </c>
      <c r="D16" s="62">
        <f>D14-D15</f>
        <v>125.53000000000065</v>
      </c>
      <c r="E16" s="62">
        <f>E14-E15</f>
        <v>0</v>
      </c>
    </row>
    <row r="17" spans="1:5" ht="15" customHeight="1">
      <c r="A17" s="61"/>
      <c r="B17" s="56" t="s">
        <v>114</v>
      </c>
      <c r="C17" s="49" t="s">
        <v>109</v>
      </c>
      <c r="D17" s="62">
        <f>D10+D14</f>
        <v>193527.67</v>
      </c>
      <c r="E17" s="62">
        <f>E10+E14</f>
        <v>178909.47</v>
      </c>
    </row>
    <row r="18" spans="1:5" ht="15.75">
      <c r="A18" s="61"/>
      <c r="B18" s="56" t="s">
        <v>115</v>
      </c>
      <c r="C18" s="49" t="s">
        <v>109</v>
      </c>
      <c r="D18" s="62">
        <f>D12+D16</f>
        <v>5219.369999999997</v>
      </c>
      <c r="E18" s="62">
        <f>E12+E16</f>
        <v>5093.8399999999965</v>
      </c>
    </row>
    <row r="19" spans="1:5" ht="15.75" customHeight="1">
      <c r="A19" s="55" t="s">
        <v>116</v>
      </c>
      <c r="B19" s="63" t="s">
        <v>117</v>
      </c>
      <c r="C19" s="49"/>
      <c r="D19" s="58"/>
      <c r="E19" s="58"/>
    </row>
    <row r="20" spans="1:5" ht="94.5">
      <c r="A20" s="64" t="s">
        <v>118</v>
      </c>
      <c r="B20" s="65" t="s">
        <v>119</v>
      </c>
      <c r="C20" s="57" t="s">
        <v>109</v>
      </c>
      <c r="D20" s="62">
        <f>D10*0.11</f>
        <v>19680.0417</v>
      </c>
      <c r="E20" s="62">
        <f>E10*0.11</f>
        <v>19680.0417</v>
      </c>
    </row>
    <row r="21" spans="1:5" ht="94.5" customHeight="1">
      <c r="A21" s="64" t="s">
        <v>120</v>
      </c>
      <c r="B21" s="65" t="s">
        <v>121</v>
      </c>
      <c r="C21" s="57" t="s">
        <v>109</v>
      </c>
      <c r="D21" s="62">
        <f>D10*0.7</f>
        <v>125236.62899999999</v>
      </c>
      <c r="E21" s="62">
        <f>E10*0.7</f>
        <v>125236.62899999999</v>
      </c>
    </row>
    <row r="22" spans="1:5" ht="21" customHeight="1">
      <c r="A22" s="64" t="s">
        <v>122</v>
      </c>
      <c r="B22" s="56" t="s">
        <v>123</v>
      </c>
      <c r="C22" s="57" t="s">
        <v>109</v>
      </c>
      <c r="D22" s="66">
        <v>16170</v>
      </c>
      <c r="E22" s="66">
        <v>16170</v>
      </c>
    </row>
    <row r="23" spans="1:5" ht="17.25" customHeight="1">
      <c r="A23" s="61"/>
      <c r="B23" s="56" t="s">
        <v>124</v>
      </c>
      <c r="C23" s="57" t="s">
        <v>109</v>
      </c>
      <c r="D23" s="62">
        <f>D20+D21+D22</f>
        <v>161086.6707</v>
      </c>
      <c r="E23" s="62">
        <f>E20+E21+E22</f>
        <v>161086.6707</v>
      </c>
    </row>
    <row r="24" spans="1:6" ht="17.25" customHeight="1">
      <c r="A24" s="60" t="s">
        <v>62</v>
      </c>
      <c r="B24" s="56" t="s">
        <v>125</v>
      </c>
      <c r="C24" s="49" t="s">
        <v>109</v>
      </c>
      <c r="D24" s="58">
        <f>D17-D23</f>
        <v>32440.999300000025</v>
      </c>
      <c r="E24" s="58">
        <f>E17-E23</f>
        <v>17822.799300000013</v>
      </c>
      <c r="F24" s="121"/>
    </row>
    <row r="25" spans="1:5" ht="31.5">
      <c r="A25" s="64" t="s">
        <v>126</v>
      </c>
      <c r="B25" s="65" t="s">
        <v>127</v>
      </c>
      <c r="C25" s="49" t="s">
        <v>109</v>
      </c>
      <c r="D25" s="58">
        <f>D24-D18</f>
        <v>27221.62930000003</v>
      </c>
      <c r="E25" s="58">
        <f>E24-E18</f>
        <v>12728.959300000017</v>
      </c>
    </row>
    <row r="26" spans="1:4" ht="15.75">
      <c r="A26" s="67"/>
      <c r="B26" s="68"/>
      <c r="C26" s="69"/>
      <c r="D26" s="69"/>
    </row>
    <row r="27" spans="2:4" ht="15.75">
      <c r="B27" s="70" t="s">
        <v>128</v>
      </c>
      <c r="C27" s="70"/>
      <c r="D27" s="70"/>
    </row>
    <row r="28" spans="2:4" ht="15.75">
      <c r="B28" s="70"/>
      <c r="C28" s="70"/>
      <c r="D28" s="70"/>
    </row>
    <row r="29" spans="2:4" ht="15.75">
      <c r="B29" s="71" t="s">
        <v>79</v>
      </c>
      <c r="C29" s="71"/>
      <c r="D29" s="71"/>
    </row>
    <row r="30" spans="2:4" ht="15.75">
      <c r="B30" s="205" t="s">
        <v>83</v>
      </c>
      <c r="C30" s="205"/>
      <c r="D30" s="71"/>
    </row>
    <row r="31" spans="2:4" ht="17.25" customHeight="1">
      <c r="B31" s="206" t="s">
        <v>129</v>
      </c>
      <c r="C31" s="206"/>
      <c r="D31" s="206"/>
    </row>
  </sheetData>
  <sheetProtection/>
  <mergeCells count="4">
    <mergeCell ref="A1:D1"/>
    <mergeCell ref="A2:D2"/>
    <mergeCell ref="B30:C30"/>
    <mergeCell ref="B31:D3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PageLayoutView="0" workbookViewId="0" topLeftCell="G1">
      <selection activeCell="R11" sqref="R11"/>
    </sheetView>
  </sheetViews>
  <sheetFormatPr defaultColWidth="9.00390625" defaultRowHeight="15.75"/>
  <cols>
    <col min="1" max="1" width="11.625" style="120" bestFit="1" customWidth="1"/>
    <col min="2" max="2" width="12.00390625" style="120" bestFit="1" customWidth="1"/>
    <col min="3" max="3" width="11.50390625" style="120" bestFit="1" customWidth="1"/>
    <col min="4" max="4" width="10.00390625" style="120" bestFit="1" customWidth="1"/>
    <col min="5" max="5" width="12.625" style="120" bestFit="1" customWidth="1"/>
    <col min="6" max="6" width="11.50390625" style="120" bestFit="1" customWidth="1"/>
    <col min="7" max="7" width="10.75390625" style="120" customWidth="1"/>
    <col min="8" max="8" width="12.375" style="120" customWidth="1"/>
    <col min="9" max="9" width="11.00390625" style="120" bestFit="1" customWidth="1"/>
    <col min="10" max="10" width="7.125" style="120" bestFit="1" customWidth="1"/>
    <col min="11" max="11" width="9.125" style="120" bestFit="1" customWidth="1"/>
    <col min="12" max="12" width="12.00390625" style="120" bestFit="1" customWidth="1"/>
    <col min="13" max="13" width="12.75390625" style="120" bestFit="1" customWidth="1"/>
    <col min="14" max="14" width="11.00390625" style="120" bestFit="1" customWidth="1"/>
    <col min="15" max="15" width="11.125" style="120" bestFit="1" customWidth="1"/>
    <col min="16" max="16" width="11.25390625" style="120" bestFit="1" customWidth="1"/>
    <col min="17" max="17" width="11.125" style="120" bestFit="1" customWidth="1"/>
    <col min="18" max="18" width="12.75390625" style="120" bestFit="1" customWidth="1"/>
    <col min="19" max="19" width="11.875" style="120" bestFit="1" customWidth="1"/>
    <col min="20" max="16384" width="9.00390625" style="120" customWidth="1"/>
  </cols>
  <sheetData>
    <row r="1" spans="1:19" ht="162" customHeight="1">
      <c r="A1" s="287" t="s">
        <v>194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19" ht="15.75" customHeight="1">
      <c r="A2" s="288" t="s">
        <v>161</v>
      </c>
      <c r="B2" s="289" t="s">
        <v>162</v>
      </c>
      <c r="C2" s="289" t="s">
        <v>163</v>
      </c>
      <c r="D2" s="289"/>
      <c r="E2" s="289"/>
      <c r="F2" s="289"/>
      <c r="G2" s="289"/>
      <c r="H2" s="289"/>
      <c r="I2" s="289"/>
      <c r="J2" s="290" t="s">
        <v>164</v>
      </c>
      <c r="K2" s="290"/>
      <c r="L2" s="290"/>
      <c r="M2" s="291" t="s">
        <v>165</v>
      </c>
      <c r="N2" s="289" t="s">
        <v>166</v>
      </c>
      <c r="O2" s="289"/>
      <c r="P2" s="289"/>
      <c r="Q2" s="289"/>
      <c r="R2" s="289"/>
      <c r="S2" s="294" t="s">
        <v>167</v>
      </c>
    </row>
    <row r="3" spans="1:19" ht="15.75">
      <c r="A3" s="289"/>
      <c r="B3" s="289"/>
      <c r="C3" s="295" t="s">
        <v>168</v>
      </c>
      <c r="D3" s="296"/>
      <c r="E3" s="297"/>
      <c r="F3" s="295" t="s">
        <v>169</v>
      </c>
      <c r="G3" s="296"/>
      <c r="H3" s="297"/>
      <c r="I3" s="288" t="s">
        <v>170</v>
      </c>
      <c r="J3" s="291" t="s">
        <v>171</v>
      </c>
      <c r="K3" s="299" t="s">
        <v>172</v>
      </c>
      <c r="L3" s="291" t="s">
        <v>173</v>
      </c>
      <c r="M3" s="292"/>
      <c r="N3" s="288" t="s">
        <v>174</v>
      </c>
      <c r="O3" s="289" t="s">
        <v>175</v>
      </c>
      <c r="P3" s="289" t="s">
        <v>176</v>
      </c>
      <c r="Q3" s="289" t="s">
        <v>177</v>
      </c>
      <c r="R3" s="289" t="s">
        <v>178</v>
      </c>
      <c r="S3" s="294"/>
    </row>
    <row r="4" spans="1:19" ht="47.25" customHeight="1">
      <c r="A4" s="289"/>
      <c r="B4" s="289"/>
      <c r="C4" s="112" t="s">
        <v>179</v>
      </c>
      <c r="D4" s="113" t="s">
        <v>177</v>
      </c>
      <c r="E4" s="113" t="s">
        <v>178</v>
      </c>
      <c r="F4" s="112" t="s">
        <v>179</v>
      </c>
      <c r="G4" s="113" t="s">
        <v>177</v>
      </c>
      <c r="H4" s="113" t="s">
        <v>178</v>
      </c>
      <c r="I4" s="288"/>
      <c r="J4" s="298"/>
      <c r="K4" s="293"/>
      <c r="L4" s="298"/>
      <c r="M4" s="293"/>
      <c r="N4" s="289"/>
      <c r="O4" s="289"/>
      <c r="P4" s="289"/>
      <c r="Q4" s="289"/>
      <c r="R4" s="289"/>
      <c r="S4" s="294"/>
    </row>
    <row r="5" spans="1:19" ht="31.5">
      <c r="A5" s="113">
        <v>1</v>
      </c>
      <c r="B5" s="113">
        <v>2</v>
      </c>
      <c r="C5" s="112">
        <v>3</v>
      </c>
      <c r="D5" s="113">
        <v>4</v>
      </c>
      <c r="E5" s="113" t="s">
        <v>180</v>
      </c>
      <c r="F5" s="112">
        <v>6</v>
      </c>
      <c r="G5" s="113">
        <v>7</v>
      </c>
      <c r="H5" s="113" t="s">
        <v>181</v>
      </c>
      <c r="I5" s="112" t="s">
        <v>182</v>
      </c>
      <c r="J5" s="113">
        <v>10</v>
      </c>
      <c r="K5" s="113">
        <v>11</v>
      </c>
      <c r="L5" s="112">
        <v>12</v>
      </c>
      <c r="M5" s="112" t="s">
        <v>183</v>
      </c>
      <c r="N5" s="113">
        <v>14</v>
      </c>
      <c r="O5" s="112">
        <v>15</v>
      </c>
      <c r="P5" s="113">
        <v>16</v>
      </c>
      <c r="Q5" s="113">
        <v>17</v>
      </c>
      <c r="R5" s="112" t="s">
        <v>184</v>
      </c>
      <c r="S5" s="114" t="s">
        <v>185</v>
      </c>
    </row>
    <row r="6" spans="1:19" ht="15.75">
      <c r="A6" s="115"/>
      <c r="B6" s="116" t="s">
        <v>186</v>
      </c>
      <c r="C6" s="115">
        <f>'2008'!D10</f>
        <v>178909.47</v>
      </c>
      <c r="D6" s="115">
        <f>'2008'!D14</f>
        <v>14618.2</v>
      </c>
      <c r="E6" s="115">
        <f>SUM(C6:D6)</f>
        <v>193527.67</v>
      </c>
      <c r="F6" s="115">
        <f>'2008'!D11</f>
        <v>173815.63</v>
      </c>
      <c r="G6" s="115">
        <f>'2008'!D15</f>
        <v>14492.67</v>
      </c>
      <c r="H6" s="115">
        <f>SUM(F6:G6)</f>
        <v>188308.30000000002</v>
      </c>
      <c r="I6" s="117">
        <f>E6-H6</f>
        <v>5219.369999999995</v>
      </c>
      <c r="J6" s="115">
        <v>0</v>
      </c>
      <c r="K6" s="115">
        <v>0</v>
      </c>
      <c r="L6" s="115">
        <v>0</v>
      </c>
      <c r="M6" s="115">
        <f>H6+J6+K6+L6</f>
        <v>188308.30000000002</v>
      </c>
      <c r="N6" s="115">
        <f>'2008'!D20</f>
        <v>19680.0417</v>
      </c>
      <c r="O6" s="115">
        <f>'2008'!D21</f>
        <v>125236.62899999999</v>
      </c>
      <c r="P6" s="115">
        <f>'2008'!D22</f>
        <v>16170</v>
      </c>
      <c r="Q6" s="117">
        <v>0</v>
      </c>
      <c r="R6" s="115">
        <f>SUM(N6:Q6)</f>
        <v>161086.6707</v>
      </c>
      <c r="S6" s="115">
        <f>M6-R6</f>
        <v>27221.62930000003</v>
      </c>
    </row>
    <row r="7" spans="1:19" ht="15.75">
      <c r="A7" s="115">
        <f>S6</f>
        <v>27221.62930000003</v>
      </c>
      <c r="B7" s="116" t="s">
        <v>187</v>
      </c>
      <c r="C7" s="115">
        <f>'отчет 2009'!H10</f>
        <v>285123.83</v>
      </c>
      <c r="D7" s="115">
        <v>21501</v>
      </c>
      <c r="E7" s="115">
        <f>SUM(C7:D7)</f>
        <v>306624.83</v>
      </c>
      <c r="F7" s="115">
        <f>'отчет 2009'!H13</f>
        <v>277629.61</v>
      </c>
      <c r="G7" s="115">
        <v>20765.36</v>
      </c>
      <c r="H7" s="115">
        <f>SUM(F7:G7)</f>
        <v>298394.97</v>
      </c>
      <c r="I7" s="117">
        <f>E7-H7</f>
        <v>8229.860000000044</v>
      </c>
      <c r="J7" s="115">
        <v>0</v>
      </c>
      <c r="K7" s="115">
        <v>0</v>
      </c>
      <c r="L7" s="115">
        <v>0</v>
      </c>
      <c r="M7" s="115">
        <f>H7+J7+K7+L7</f>
        <v>298394.97</v>
      </c>
      <c r="N7" s="115">
        <f>'отчет 2009'!H31</f>
        <v>28683.07</v>
      </c>
      <c r="O7" s="115">
        <f>'отчет 2009'!H32-'отчет 2009'!H31</f>
        <v>228486.74</v>
      </c>
      <c r="P7" s="115">
        <f>'отчет 2009'!H33</f>
        <v>319880</v>
      </c>
      <c r="Q7" s="117">
        <v>0</v>
      </c>
      <c r="R7" s="115">
        <f>SUM(N7:Q7)</f>
        <v>577049.81</v>
      </c>
      <c r="S7" s="115">
        <f>M7-R7</f>
        <v>-278654.8400000001</v>
      </c>
    </row>
    <row r="8" spans="1:19" ht="15.75">
      <c r="A8" s="115">
        <f>A7+S7</f>
        <v>-251433.21070000005</v>
      </c>
      <c r="B8" s="116" t="s">
        <v>188</v>
      </c>
      <c r="C8" s="115">
        <v>299728.64</v>
      </c>
      <c r="D8" s="115">
        <v>21502.09</v>
      </c>
      <c r="E8" s="115">
        <f>SUM(C8:D8)</f>
        <v>321230.73000000004</v>
      </c>
      <c r="F8" s="115">
        <f>'отчет 2010'!H10</f>
        <v>273453</v>
      </c>
      <c r="G8" s="115">
        <f>'отчет 2010'!H11</f>
        <v>19896.82</v>
      </c>
      <c r="H8" s="115">
        <f>SUM(F8:G8)</f>
        <v>293349.82</v>
      </c>
      <c r="I8" s="117">
        <f>E8-H8</f>
        <v>27880.910000000033</v>
      </c>
      <c r="J8" s="115">
        <v>0</v>
      </c>
      <c r="K8" s="115">
        <v>0</v>
      </c>
      <c r="L8" s="115">
        <v>861889</v>
      </c>
      <c r="M8" s="115">
        <f>H8+J8+K8+L8</f>
        <v>1155238.82</v>
      </c>
      <c r="N8" s="115">
        <f>'отчет 2010'!J29</f>
        <v>29986.85</v>
      </c>
      <c r="O8" s="115">
        <f>'отчет 2010'!J34-'отчет 2010'!J29</f>
        <v>246297.21</v>
      </c>
      <c r="P8" s="115">
        <f>'отчет 2010'!H35</f>
        <v>46700</v>
      </c>
      <c r="Q8" s="117">
        <f>'отчет 2010'!H37</f>
        <v>907655</v>
      </c>
      <c r="R8" s="115">
        <f>SUM(N8:Q8)</f>
        <v>1230639.06</v>
      </c>
      <c r="S8" s="115">
        <f>M8-R8</f>
        <v>-75400.23999999999</v>
      </c>
    </row>
    <row r="9" spans="1:19" ht="15.75">
      <c r="A9" s="115">
        <f>A8+S8</f>
        <v>-326833.45070000004</v>
      </c>
      <c r="B9" s="116" t="s">
        <v>189</v>
      </c>
      <c r="C9" s="115">
        <v>343663.8</v>
      </c>
      <c r="D9" s="115">
        <v>24772.2</v>
      </c>
      <c r="E9" s="115">
        <f>SUM(C9:D9)</f>
        <v>368436</v>
      </c>
      <c r="F9" s="115">
        <f>'отчет 2011'!H10</f>
        <v>327280.15</v>
      </c>
      <c r="G9" s="115">
        <f>'отчет 2011'!H11</f>
        <v>23566.64</v>
      </c>
      <c r="H9" s="115">
        <f>SUM(F9:G9)</f>
        <v>350846.79000000004</v>
      </c>
      <c r="I9" s="117">
        <f>E9-H9</f>
        <v>17589.209999999963</v>
      </c>
      <c r="J9" s="115">
        <f>'отчет 2011'!I12</f>
        <v>0</v>
      </c>
      <c r="K9" s="115">
        <f>'отчет 2011'!I13</f>
        <v>0</v>
      </c>
      <c r="L9" s="115">
        <f>'отчет 2011'!H13</f>
        <v>0</v>
      </c>
      <c r="M9" s="115">
        <f>H9+J9+K9+L9</f>
        <v>350846.79000000004</v>
      </c>
      <c r="N9" s="115">
        <f>'отчет 2011'!J29</f>
        <v>34550.06</v>
      </c>
      <c r="O9" s="115">
        <f>'отчет 2011'!J32-'отчет 2011'!J29</f>
        <v>277513.91000000003</v>
      </c>
      <c r="P9" s="115">
        <f>'отчет 2011'!H36</f>
        <v>59095</v>
      </c>
      <c r="Q9" s="140">
        <f>'отчет 2011'!H38</f>
        <v>0</v>
      </c>
      <c r="R9" s="115">
        <f>SUM(N9:Q9)</f>
        <v>371158.97000000003</v>
      </c>
      <c r="S9" s="115">
        <f>M9-R9</f>
        <v>-20312.179999999993</v>
      </c>
    </row>
    <row r="10" spans="1:19" ht="15.75">
      <c r="A10" s="115"/>
      <c r="B10" s="56" t="s">
        <v>217</v>
      </c>
      <c r="C10" s="115">
        <f>Лист1!K10</f>
        <v>294218.79000000004</v>
      </c>
      <c r="D10" s="115">
        <f>Лист1!K11</f>
        <v>21077.71</v>
      </c>
      <c r="E10" s="115">
        <f>SUM(C10:D10)</f>
        <v>315296.50000000006</v>
      </c>
      <c r="F10" s="137">
        <f>C10*0.98</f>
        <v>288334.41420000006</v>
      </c>
      <c r="G10" s="137">
        <f>D10*0.98</f>
        <v>20656.1558</v>
      </c>
      <c r="H10" s="115">
        <f>SUM(F10:G10)</f>
        <v>308990.57000000007</v>
      </c>
      <c r="I10" s="117">
        <f>E10-H10</f>
        <v>6305.929999999993</v>
      </c>
      <c r="J10" s="115">
        <v>0</v>
      </c>
      <c r="K10" s="115">
        <v>0</v>
      </c>
      <c r="L10" s="115">
        <v>0</v>
      </c>
      <c r="M10" s="115">
        <f>H10+J10+K10+L10</f>
        <v>308990.57000000007</v>
      </c>
      <c r="N10" s="115">
        <f>Лист1!K29</f>
        <v>29443.61</v>
      </c>
      <c r="O10" s="115">
        <f>Лист1!K32-Лист1!K29</f>
        <v>241008.2</v>
      </c>
      <c r="P10" s="138">
        <v>0</v>
      </c>
      <c r="Q10" s="139">
        <v>0</v>
      </c>
      <c r="R10" s="115">
        <f>SUM(N10:Q10)</f>
        <v>270451.81</v>
      </c>
      <c r="S10" s="115">
        <f>M10-R10</f>
        <v>38538.76000000007</v>
      </c>
    </row>
    <row r="11" spans="1:19" ht="15.75">
      <c r="A11" s="115"/>
      <c r="B11" s="116" t="s">
        <v>190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8"/>
      <c r="Q11" s="118"/>
      <c r="R11" s="118"/>
      <c r="S11" s="118"/>
    </row>
    <row r="12" spans="1:19" ht="15.75">
      <c r="A12" s="118"/>
      <c r="B12" s="116" t="s">
        <v>191</v>
      </c>
      <c r="C12" s="119">
        <f>SUM(C6:C11)</f>
        <v>1401644.53</v>
      </c>
      <c r="D12" s="119">
        <f aca="true" t="shared" si="0" ref="D12:S12">SUM(D6:D11)</f>
        <v>103471.19999999998</v>
      </c>
      <c r="E12" s="119">
        <f t="shared" si="0"/>
        <v>1505115.73</v>
      </c>
      <c r="F12" s="119">
        <f t="shared" si="0"/>
        <v>1340512.8042000001</v>
      </c>
      <c r="G12" s="119">
        <f t="shared" si="0"/>
        <v>99377.6458</v>
      </c>
      <c r="H12" s="119">
        <f t="shared" si="0"/>
        <v>1439890.4500000002</v>
      </c>
      <c r="I12" s="119">
        <f t="shared" si="0"/>
        <v>65225.28000000003</v>
      </c>
      <c r="J12" s="119">
        <f t="shared" si="0"/>
        <v>0</v>
      </c>
      <c r="K12" s="119">
        <f t="shared" si="0"/>
        <v>0</v>
      </c>
      <c r="L12" s="119">
        <f t="shared" si="0"/>
        <v>861889</v>
      </c>
      <c r="M12" s="119">
        <f t="shared" si="0"/>
        <v>2301779.45</v>
      </c>
      <c r="N12" s="119">
        <f t="shared" si="0"/>
        <v>142343.6317</v>
      </c>
      <c r="O12" s="119">
        <f t="shared" si="0"/>
        <v>1118542.689</v>
      </c>
      <c r="P12" s="119">
        <f t="shared" si="0"/>
        <v>441845</v>
      </c>
      <c r="Q12" s="119">
        <f t="shared" si="0"/>
        <v>907655</v>
      </c>
      <c r="R12" s="119">
        <f t="shared" si="0"/>
        <v>2610386.3207000005</v>
      </c>
      <c r="S12" s="119">
        <f t="shared" si="0"/>
        <v>-308606.87069999997</v>
      </c>
    </row>
  </sheetData>
  <sheetProtection/>
  <mergeCells count="19">
    <mergeCell ref="I3:I4"/>
    <mergeCell ref="J3:J4"/>
    <mergeCell ref="K3:K4"/>
    <mergeCell ref="L3:L4"/>
    <mergeCell ref="R3:R4"/>
    <mergeCell ref="N3:N4"/>
    <mergeCell ref="O3:O4"/>
    <mergeCell ref="P3:P4"/>
    <mergeCell ref="Q3:Q4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</mergeCells>
  <printOptions/>
  <pageMargins left="0" right="0" top="0.984251968503937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5">
      <selection activeCell="H36" sqref="H36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201" t="s">
        <v>192</v>
      </c>
      <c r="B1" s="201"/>
      <c r="C1" s="201"/>
      <c r="D1" s="201"/>
      <c r="E1" s="201"/>
      <c r="F1" s="201"/>
      <c r="G1" s="201"/>
      <c r="H1" s="201"/>
    </row>
    <row r="2" spans="1:8" ht="61.5" customHeight="1">
      <c r="A2" s="213" t="s">
        <v>84</v>
      </c>
      <c r="B2" s="213"/>
      <c r="C2" s="213"/>
      <c r="D2" s="213"/>
      <c r="E2" s="213"/>
      <c r="F2" s="213"/>
      <c r="G2" s="213"/>
      <c r="H2" s="213"/>
    </row>
    <row r="3" spans="1:6" ht="18.75">
      <c r="A3" s="1" t="s">
        <v>82</v>
      </c>
      <c r="B3" s="1" t="s">
        <v>85</v>
      </c>
      <c r="C3" s="2"/>
      <c r="D3" s="2" t="s">
        <v>0</v>
      </c>
      <c r="E3" s="26">
        <v>2716.2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61</v>
      </c>
      <c r="B7" s="214"/>
      <c r="C7" s="214"/>
      <c r="D7" s="214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216" t="s">
        <v>65</v>
      </c>
      <c r="C8" s="217"/>
      <c r="D8" s="217"/>
      <c r="E8" s="217"/>
      <c r="F8" s="218"/>
      <c r="G8" s="15"/>
      <c r="H8" s="16"/>
    </row>
    <row r="9" spans="1:8" ht="15.75">
      <c r="A9" s="22"/>
      <c r="B9" s="219" t="s">
        <v>66</v>
      </c>
      <c r="C9" s="219"/>
      <c r="D9" s="219"/>
      <c r="E9" s="219"/>
      <c r="F9" s="219"/>
      <c r="G9" s="15"/>
      <c r="H9" s="30">
        <v>19599.12</v>
      </c>
    </row>
    <row r="10" spans="1:8" ht="15.75">
      <c r="A10" s="22">
        <v>1</v>
      </c>
      <c r="B10" s="215" t="s">
        <v>63</v>
      </c>
      <c r="C10" s="215"/>
      <c r="D10" s="215"/>
      <c r="E10" s="215"/>
      <c r="F10" s="215"/>
      <c r="G10" s="15"/>
      <c r="H10" s="34">
        <v>285123.83</v>
      </c>
    </row>
    <row r="11" spans="1:8" ht="15.75">
      <c r="A11" s="22"/>
      <c r="B11" s="215" t="s">
        <v>67</v>
      </c>
      <c r="C11" s="215"/>
      <c r="D11" s="215"/>
      <c r="E11" s="215"/>
      <c r="F11" s="215"/>
      <c r="G11" s="15"/>
      <c r="H11" s="40">
        <f>H10*0.9</f>
        <v>256611.44700000001</v>
      </c>
    </row>
    <row r="12" spans="1:8" ht="15.75" customHeight="1">
      <c r="A12" s="22"/>
      <c r="B12" s="215" t="s">
        <v>68</v>
      </c>
      <c r="C12" s="215"/>
      <c r="D12" s="215"/>
      <c r="E12" s="215"/>
      <c r="F12" s="215"/>
      <c r="G12" s="15"/>
      <c r="H12" s="40">
        <f>H10-H11</f>
        <v>28512.383</v>
      </c>
    </row>
    <row r="13" spans="1:8" ht="15.75" customHeight="1">
      <c r="A13" s="22">
        <v>2</v>
      </c>
      <c r="B13" s="215" t="s">
        <v>64</v>
      </c>
      <c r="C13" s="215"/>
      <c r="D13" s="215"/>
      <c r="E13" s="215"/>
      <c r="F13" s="215"/>
      <c r="G13" s="15"/>
      <c r="H13" s="34">
        <v>277629.61</v>
      </c>
    </row>
    <row r="14" spans="1:8" ht="15.75" customHeight="1">
      <c r="A14" s="22">
        <v>3</v>
      </c>
      <c r="B14" s="215" t="s">
        <v>69</v>
      </c>
      <c r="C14" s="215"/>
      <c r="D14" s="215"/>
      <c r="E14" s="215"/>
      <c r="F14" s="215"/>
      <c r="G14" s="15"/>
      <c r="H14" s="40">
        <f>H10-H13</f>
        <v>7494.22000000003</v>
      </c>
    </row>
    <row r="15" spans="1:8" ht="15.75" customHeight="1">
      <c r="A15" s="22">
        <v>4</v>
      </c>
      <c r="B15" s="219" t="s">
        <v>70</v>
      </c>
      <c r="C15" s="219"/>
      <c r="D15" s="219"/>
      <c r="E15" s="219"/>
      <c r="F15" s="219"/>
      <c r="G15" s="15"/>
      <c r="H15" s="41">
        <f>H9+H10-H13</f>
        <v>27093.340000000026</v>
      </c>
    </row>
    <row r="16" spans="1:8" ht="18.75">
      <c r="A16" s="22">
        <v>5</v>
      </c>
      <c r="B16" s="192" t="s">
        <v>74</v>
      </c>
      <c r="C16" s="192"/>
      <c r="D16" s="192"/>
      <c r="E16" s="192"/>
      <c r="F16" s="192"/>
      <c r="G16" s="17"/>
      <c r="H16" s="42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3"/>
    </row>
    <row r="18" spans="1:8" ht="31.5">
      <c r="A18" s="28" t="s">
        <v>41</v>
      </c>
      <c r="B18" s="222" t="s">
        <v>18</v>
      </c>
      <c r="C18" s="222"/>
      <c r="D18" s="222"/>
      <c r="E18" s="6" t="s">
        <v>32</v>
      </c>
      <c r="F18" s="6" t="s">
        <v>24</v>
      </c>
      <c r="G18" s="12">
        <v>0.9</v>
      </c>
      <c r="H18" s="44">
        <f>ROUND(G18*$E$3*12,2)</f>
        <v>29334.96</v>
      </c>
    </row>
    <row r="19" spans="1:8" ht="15.75">
      <c r="A19" s="29" t="s">
        <v>42</v>
      </c>
      <c r="B19" s="222" t="s">
        <v>17</v>
      </c>
      <c r="C19" s="222"/>
      <c r="D19" s="222"/>
      <c r="E19" s="6" t="s">
        <v>32</v>
      </c>
      <c r="F19" s="6" t="s">
        <v>19</v>
      </c>
      <c r="G19" s="12">
        <v>0.26</v>
      </c>
      <c r="H19" s="44">
        <f aca="true" t="shared" si="0" ref="H19:H31">ROUND(G19*$E$3*12,2)</f>
        <v>8474.54</v>
      </c>
    </row>
    <row r="20" spans="1:8" ht="15.75">
      <c r="A20" s="28" t="s">
        <v>43</v>
      </c>
      <c r="B20" s="221" t="s">
        <v>23</v>
      </c>
      <c r="C20" s="221"/>
      <c r="D20" s="221"/>
      <c r="E20" s="7" t="s">
        <v>8</v>
      </c>
      <c r="F20" s="7" t="s">
        <v>20</v>
      </c>
      <c r="G20" s="12">
        <v>0.32</v>
      </c>
      <c r="H20" s="44">
        <f t="shared" si="0"/>
        <v>10430.21</v>
      </c>
    </row>
    <row r="21" spans="1:8" ht="33" customHeight="1">
      <c r="A21" s="29" t="s">
        <v>44</v>
      </c>
      <c r="B21" s="223" t="s">
        <v>31</v>
      </c>
      <c r="C21" s="223"/>
      <c r="D21" s="223"/>
      <c r="E21" s="8" t="s">
        <v>9</v>
      </c>
      <c r="F21" s="8" t="s">
        <v>10</v>
      </c>
      <c r="G21" s="12">
        <v>0.46</v>
      </c>
      <c r="H21" s="44">
        <f t="shared" si="0"/>
        <v>14993.42</v>
      </c>
    </row>
    <row r="22" spans="1:8" ht="63">
      <c r="A22" s="28" t="s">
        <v>47</v>
      </c>
      <c r="B22" s="221" t="s">
        <v>27</v>
      </c>
      <c r="C22" s="221"/>
      <c r="D22" s="221"/>
      <c r="E22" s="7" t="s">
        <v>34</v>
      </c>
      <c r="F22" s="7" t="s">
        <v>25</v>
      </c>
      <c r="G22" s="12">
        <v>0.11</v>
      </c>
      <c r="H22" s="44">
        <f t="shared" si="0"/>
        <v>3585.38</v>
      </c>
    </row>
    <row r="23" spans="1:8" ht="31.5">
      <c r="A23" s="29" t="s">
        <v>45</v>
      </c>
      <c r="B23" s="221" t="s">
        <v>11</v>
      </c>
      <c r="C23" s="221"/>
      <c r="D23" s="221"/>
      <c r="E23" s="7" t="s">
        <v>9</v>
      </c>
      <c r="F23" s="7" t="s">
        <v>12</v>
      </c>
      <c r="G23" s="12">
        <v>0</v>
      </c>
      <c r="H23" s="44">
        <f t="shared" si="0"/>
        <v>0</v>
      </c>
    </row>
    <row r="24" spans="1:8" ht="15.75">
      <c r="A24" s="28" t="s">
        <v>46</v>
      </c>
      <c r="B24" s="221" t="s">
        <v>26</v>
      </c>
      <c r="C24" s="191"/>
      <c r="D24" s="191"/>
      <c r="E24" s="9" t="s">
        <v>13</v>
      </c>
      <c r="F24" s="9" t="s">
        <v>14</v>
      </c>
      <c r="G24" s="12">
        <v>0.04</v>
      </c>
      <c r="H24" s="44">
        <f t="shared" si="0"/>
        <v>1303.78</v>
      </c>
    </row>
    <row r="25" spans="1:8" ht="36.75" customHeight="1">
      <c r="A25" s="29" t="s">
        <v>48</v>
      </c>
      <c r="B25" s="194" t="s">
        <v>77</v>
      </c>
      <c r="C25" s="195"/>
      <c r="D25" s="196"/>
      <c r="E25" s="9" t="s">
        <v>13</v>
      </c>
      <c r="F25" s="38" t="s">
        <v>81</v>
      </c>
      <c r="G25" s="12">
        <v>0.22</v>
      </c>
      <c r="H25" s="44">
        <f t="shared" si="0"/>
        <v>7170.77</v>
      </c>
    </row>
    <row r="26" spans="1:8" ht="31.5">
      <c r="A26" s="28" t="s">
        <v>49</v>
      </c>
      <c r="B26" s="221" t="s">
        <v>35</v>
      </c>
      <c r="C26" s="221"/>
      <c r="D26" s="221"/>
      <c r="E26" s="6" t="s">
        <v>36</v>
      </c>
      <c r="F26" s="39" t="s">
        <v>81</v>
      </c>
      <c r="G26" s="12">
        <v>2.5</v>
      </c>
      <c r="H26" s="44">
        <f t="shared" si="0"/>
        <v>81486</v>
      </c>
    </row>
    <row r="27" spans="1:8" ht="31.5">
      <c r="A27" s="29" t="s">
        <v>50</v>
      </c>
      <c r="B27" s="222" t="s">
        <v>15</v>
      </c>
      <c r="C27" s="222"/>
      <c r="D27" s="222"/>
      <c r="E27" s="6" t="s">
        <v>36</v>
      </c>
      <c r="F27" s="39" t="s">
        <v>81</v>
      </c>
      <c r="G27" s="12">
        <v>0.38</v>
      </c>
      <c r="H27" s="44">
        <f t="shared" si="0"/>
        <v>12385.87</v>
      </c>
    </row>
    <row r="28" spans="1:8" ht="31.5">
      <c r="A28" s="28" t="s">
        <v>51</v>
      </c>
      <c r="B28" s="197" t="s">
        <v>37</v>
      </c>
      <c r="C28" s="190"/>
      <c r="D28" s="190"/>
      <c r="E28" s="6" t="s">
        <v>36</v>
      </c>
      <c r="F28" s="39" t="s">
        <v>81</v>
      </c>
      <c r="G28" s="36">
        <f>1.82-G29-G30</f>
        <v>1.82</v>
      </c>
      <c r="H28" s="44">
        <f t="shared" si="0"/>
        <v>59321.81</v>
      </c>
    </row>
    <row r="29" spans="1:8" ht="31.5">
      <c r="A29" s="29" t="s">
        <v>52</v>
      </c>
      <c r="B29" s="221" t="s">
        <v>28</v>
      </c>
      <c r="C29" s="221"/>
      <c r="D29" s="221"/>
      <c r="E29" s="6" t="s">
        <v>36</v>
      </c>
      <c r="F29" s="39" t="s">
        <v>81</v>
      </c>
      <c r="G29" s="13">
        <v>0</v>
      </c>
      <c r="H29" s="44">
        <f t="shared" si="0"/>
        <v>0</v>
      </c>
    </row>
    <row r="30" spans="1:8" ht="31.5">
      <c r="A30" s="28" t="s">
        <v>53</v>
      </c>
      <c r="B30" s="221" t="s">
        <v>29</v>
      </c>
      <c r="C30" s="221"/>
      <c r="D30" s="221"/>
      <c r="E30" s="6" t="s">
        <v>36</v>
      </c>
      <c r="F30" s="39" t="s">
        <v>81</v>
      </c>
      <c r="G30" s="13">
        <v>0</v>
      </c>
      <c r="H30" s="44">
        <f t="shared" si="0"/>
        <v>0</v>
      </c>
    </row>
    <row r="31" spans="1:8" ht="31.5">
      <c r="A31" s="29" t="s">
        <v>54</v>
      </c>
      <c r="B31" s="191" t="s">
        <v>21</v>
      </c>
      <c r="C31" s="191"/>
      <c r="D31" s="191"/>
      <c r="E31" s="6" t="s">
        <v>36</v>
      </c>
      <c r="F31" s="39" t="s">
        <v>81</v>
      </c>
      <c r="G31" s="9">
        <v>0.88</v>
      </c>
      <c r="H31" s="44">
        <f t="shared" si="0"/>
        <v>28683.07</v>
      </c>
    </row>
    <row r="32" spans="1:8" ht="15.75">
      <c r="A32" s="22" t="s">
        <v>55</v>
      </c>
      <c r="B32" s="193" t="s">
        <v>30</v>
      </c>
      <c r="C32" s="193"/>
      <c r="D32" s="193"/>
      <c r="E32" s="14"/>
      <c r="F32" s="39"/>
      <c r="G32" s="20">
        <f>SUM(G18:G31)</f>
        <v>7.890000000000001</v>
      </c>
      <c r="H32" s="45">
        <f>SUM(H18:H31)</f>
        <v>257169.81</v>
      </c>
    </row>
    <row r="33" spans="1:8" ht="15.75">
      <c r="A33" s="22" t="s">
        <v>56</v>
      </c>
      <c r="B33" s="219" t="s">
        <v>38</v>
      </c>
      <c r="C33" s="191"/>
      <c r="D33" s="191"/>
      <c r="E33" s="14"/>
      <c r="F33" s="39" t="s">
        <v>81</v>
      </c>
      <c r="G33" s="23">
        <f>H33/E3/12</f>
        <v>9.81395577154358</v>
      </c>
      <c r="H33" s="24">
        <v>319880</v>
      </c>
    </row>
    <row r="34" spans="1:8" ht="18.75">
      <c r="A34" s="25" t="s">
        <v>57</v>
      </c>
      <c r="B34" s="220" t="s">
        <v>76</v>
      </c>
      <c r="C34" s="220"/>
      <c r="D34" s="220"/>
      <c r="E34" s="220"/>
      <c r="F34" s="220"/>
      <c r="G34" s="20">
        <f>SUM(G32:G33)</f>
        <v>17.70395577154358</v>
      </c>
      <c r="H34" s="46">
        <f>SUM(H32:H33)</f>
        <v>577049.81</v>
      </c>
    </row>
    <row r="35" spans="1:8" ht="18.75">
      <c r="A35" s="22" t="s">
        <v>62</v>
      </c>
      <c r="B35" s="210" t="s">
        <v>39</v>
      </c>
      <c r="C35" s="211"/>
      <c r="D35" s="211"/>
      <c r="E35" s="211"/>
      <c r="F35" s="211"/>
      <c r="G35" s="212"/>
      <c r="H35" s="31"/>
    </row>
    <row r="36" spans="1:8" ht="15.75" customHeight="1">
      <c r="A36" s="22" t="s">
        <v>58</v>
      </c>
      <c r="B36" s="207" t="s">
        <v>71</v>
      </c>
      <c r="C36" s="208"/>
      <c r="D36" s="208"/>
      <c r="E36" s="208"/>
      <c r="F36" s="208"/>
      <c r="G36" s="209"/>
      <c r="H36" s="32">
        <v>12728.96</v>
      </c>
    </row>
    <row r="37" spans="1:8" ht="15.75" customHeight="1">
      <c r="A37" s="22" t="s">
        <v>59</v>
      </c>
      <c r="B37" s="207" t="s">
        <v>72</v>
      </c>
      <c r="C37" s="208"/>
      <c r="D37" s="208"/>
      <c r="E37" s="208"/>
      <c r="F37" s="208"/>
      <c r="G37" s="209"/>
      <c r="H37" s="47">
        <f>H13-H34</f>
        <v>-299420.20000000007</v>
      </c>
    </row>
    <row r="38" spans="1:8" ht="15.75" customHeight="1">
      <c r="A38" s="22" t="s">
        <v>60</v>
      </c>
      <c r="B38" s="207" t="s">
        <v>73</v>
      </c>
      <c r="C38" s="208"/>
      <c r="D38" s="208"/>
      <c r="E38" s="208"/>
      <c r="F38" s="208"/>
      <c r="G38" s="209"/>
      <c r="H38" s="47">
        <f>H36+H37</f>
        <v>-286691.24000000005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6" ht="15.75">
      <c r="B45" s="48" t="s">
        <v>83</v>
      </c>
      <c r="C45" s="48"/>
      <c r="D45" s="48"/>
      <c r="E45" s="48"/>
      <c r="F45" s="48"/>
    </row>
    <row r="46" spans="2:4" ht="15.75" customHeight="1">
      <c r="B46" s="206" t="s">
        <v>86</v>
      </c>
      <c r="C46" s="206"/>
      <c r="D46" s="206"/>
    </row>
  </sheetData>
  <sheetProtection/>
  <mergeCells count="34">
    <mergeCell ref="B10:F10"/>
    <mergeCell ref="B11:F11"/>
    <mergeCell ref="B24:D24"/>
    <mergeCell ref="B33:D33"/>
    <mergeCell ref="B16:F16"/>
    <mergeCell ref="B18:D18"/>
    <mergeCell ref="B19:D19"/>
    <mergeCell ref="B23:D23"/>
    <mergeCell ref="B31:D31"/>
    <mergeCell ref="B32:D32"/>
    <mergeCell ref="B34:F34"/>
    <mergeCell ref="B20:D20"/>
    <mergeCell ref="B27:D27"/>
    <mergeCell ref="B21:D21"/>
    <mergeCell ref="B25:D25"/>
    <mergeCell ref="B26:D26"/>
    <mergeCell ref="B28:D28"/>
    <mergeCell ref="B30:D30"/>
    <mergeCell ref="B29:D29"/>
    <mergeCell ref="B22:D22"/>
    <mergeCell ref="A1:H1"/>
    <mergeCell ref="A2:H2"/>
    <mergeCell ref="B46:D46"/>
    <mergeCell ref="B7:D7"/>
    <mergeCell ref="B12:F12"/>
    <mergeCell ref="B8:F8"/>
    <mergeCell ref="B9:F9"/>
    <mergeCell ref="B13:F13"/>
    <mergeCell ref="B14:F14"/>
    <mergeCell ref="B15:F15"/>
    <mergeCell ref="B36:G36"/>
    <mergeCell ref="B37:G37"/>
    <mergeCell ref="B38:G38"/>
    <mergeCell ref="B35:G35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zoomScalePageLayoutView="0" workbookViewId="0" topLeftCell="A1">
      <selection activeCell="J14" sqref="H14:J14"/>
    </sheetView>
  </sheetViews>
  <sheetFormatPr defaultColWidth="9.00390625" defaultRowHeight="15.75"/>
  <cols>
    <col min="1" max="1" width="4.875" style="0" customWidth="1"/>
    <col min="2" max="2" width="25.125" style="0" customWidth="1"/>
    <col min="3" max="3" width="3.75390625" style="0" customWidth="1"/>
    <col min="4" max="4" width="21.75390625" style="0" customWidth="1"/>
    <col min="5" max="5" width="18.50390625" style="0" customWidth="1"/>
    <col min="6" max="6" width="0.12890625" style="0" hidden="1" customWidth="1"/>
    <col min="7" max="7" width="9.375" style="0" hidden="1" customWidth="1"/>
    <col min="8" max="8" width="13.25390625" style="0" bestFit="1" customWidth="1"/>
    <col min="9" max="9" width="11.75390625" style="0" bestFit="1" customWidth="1"/>
    <col min="10" max="10" width="13.25390625" style="0" bestFit="1" customWidth="1"/>
  </cols>
  <sheetData>
    <row r="1" spans="1:10" ht="110.25" customHeight="1">
      <c r="A1" s="201" t="s">
        <v>193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63.75" customHeight="1">
      <c r="A2" s="186" t="s">
        <v>195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6" ht="18.75">
      <c r="A3" s="1" t="s">
        <v>82</v>
      </c>
      <c r="B3" s="1" t="s">
        <v>85</v>
      </c>
      <c r="C3" s="2"/>
      <c r="D3" s="2" t="s">
        <v>0</v>
      </c>
      <c r="E3" s="26">
        <v>2716.2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0" ht="39" customHeight="1">
      <c r="A7" s="21" t="s">
        <v>61</v>
      </c>
      <c r="B7" s="187" t="s">
        <v>136</v>
      </c>
      <c r="C7" s="188"/>
      <c r="D7" s="189"/>
      <c r="E7" s="11" t="s">
        <v>6</v>
      </c>
      <c r="F7" s="11" t="s">
        <v>7</v>
      </c>
      <c r="G7" s="84" t="s">
        <v>22</v>
      </c>
      <c r="H7" s="180" t="s">
        <v>137</v>
      </c>
      <c r="I7" s="224"/>
      <c r="J7" s="225"/>
    </row>
    <row r="8" spans="1:10" ht="15.75">
      <c r="A8" s="22">
        <v>1</v>
      </c>
      <c r="B8" s="216"/>
      <c r="C8" s="217"/>
      <c r="D8" s="217"/>
      <c r="E8" s="217"/>
      <c r="F8" s="218"/>
      <c r="G8" s="85"/>
      <c r="H8" s="86" t="s">
        <v>138</v>
      </c>
      <c r="I8" s="87" t="s">
        <v>139</v>
      </c>
      <c r="J8" s="87" t="s">
        <v>140</v>
      </c>
    </row>
    <row r="9" spans="1:10" ht="15.75">
      <c r="A9" s="22"/>
      <c r="B9" s="216" t="s">
        <v>141</v>
      </c>
      <c r="C9" s="217"/>
      <c r="D9" s="217"/>
      <c r="E9" s="217"/>
      <c r="F9" s="218"/>
      <c r="G9" s="88"/>
      <c r="H9" s="88"/>
      <c r="I9" s="57"/>
      <c r="J9" s="87"/>
    </row>
    <row r="10" spans="1:10" ht="15.75">
      <c r="A10" s="89"/>
      <c r="B10" s="215" t="s">
        <v>142</v>
      </c>
      <c r="C10" s="215"/>
      <c r="D10" s="215"/>
      <c r="E10" s="215"/>
      <c r="F10" s="215"/>
      <c r="G10" s="15"/>
      <c r="H10" s="90">
        <v>273453</v>
      </c>
      <c r="I10" s="75"/>
      <c r="J10" s="91">
        <f>H10+I10</f>
        <v>273453</v>
      </c>
    </row>
    <row r="11" spans="1:10" ht="15.75">
      <c r="A11" s="89"/>
      <c r="B11" s="215" t="s">
        <v>143</v>
      </c>
      <c r="C11" s="215"/>
      <c r="D11" s="215"/>
      <c r="E11" s="215"/>
      <c r="F11" s="215"/>
      <c r="G11" s="15"/>
      <c r="H11" s="16">
        <v>19896.82</v>
      </c>
      <c r="I11" s="75"/>
      <c r="J11" s="91">
        <f>H11+I11</f>
        <v>19896.82</v>
      </c>
    </row>
    <row r="12" spans="1:10" ht="15.75">
      <c r="A12" s="22"/>
      <c r="B12" s="215" t="s">
        <v>144</v>
      </c>
      <c r="C12" s="215"/>
      <c r="D12" s="215"/>
      <c r="E12" s="215"/>
      <c r="F12" s="215"/>
      <c r="G12" s="15"/>
      <c r="H12" s="90"/>
      <c r="I12" s="75">
        <v>0</v>
      </c>
      <c r="J12" s="91">
        <f>H12+I12</f>
        <v>0</v>
      </c>
    </row>
    <row r="13" spans="1:10" ht="15.75">
      <c r="A13" s="22"/>
      <c r="B13" s="215" t="s">
        <v>145</v>
      </c>
      <c r="C13" s="215"/>
      <c r="D13" s="215"/>
      <c r="E13" s="215"/>
      <c r="F13" s="215"/>
      <c r="G13" s="15"/>
      <c r="H13" s="90">
        <v>861889</v>
      </c>
      <c r="I13" s="92"/>
      <c r="J13" s="91">
        <f>H13+I13</f>
        <v>861889</v>
      </c>
    </row>
    <row r="14" spans="1:10" ht="15.75">
      <c r="A14" s="22"/>
      <c r="B14" s="219" t="s">
        <v>146</v>
      </c>
      <c r="C14" s="219"/>
      <c r="D14" s="219"/>
      <c r="E14" s="219"/>
      <c r="F14" s="219"/>
      <c r="G14" s="15"/>
      <c r="H14" s="41">
        <f>SUM(H10:H13)</f>
        <v>1155238.82</v>
      </c>
      <c r="I14" s="41">
        <f>SUM(I10:I13)</f>
        <v>0</v>
      </c>
      <c r="J14" s="41">
        <f>SUM(J10:J13)</f>
        <v>1155238.82</v>
      </c>
    </row>
    <row r="15" spans="1:10" ht="18.75">
      <c r="A15" s="22">
        <v>2</v>
      </c>
      <c r="B15" s="192" t="s">
        <v>74</v>
      </c>
      <c r="C15" s="192"/>
      <c r="D15" s="192"/>
      <c r="E15" s="192"/>
      <c r="F15" s="192"/>
      <c r="G15" s="15"/>
      <c r="H15" s="90"/>
      <c r="I15" s="75"/>
      <c r="J15" s="34"/>
    </row>
    <row r="16" spans="1:10" ht="15.75">
      <c r="A16" s="22" t="s">
        <v>147</v>
      </c>
      <c r="B16" s="18" t="s">
        <v>75</v>
      </c>
      <c r="C16" s="18"/>
      <c r="D16" s="18"/>
      <c r="E16" s="18"/>
      <c r="F16" s="5"/>
      <c r="G16" s="86"/>
      <c r="H16" s="86"/>
      <c r="I16" s="83"/>
      <c r="J16" s="87"/>
    </row>
    <row r="17" spans="1:10" ht="33" customHeight="1">
      <c r="A17" s="93"/>
      <c r="B17" s="228" t="s">
        <v>133</v>
      </c>
      <c r="C17" s="228"/>
      <c r="D17" s="228"/>
      <c r="E17" s="94" t="s">
        <v>32</v>
      </c>
      <c r="F17" s="78" t="s">
        <v>24</v>
      </c>
      <c r="G17" s="79">
        <v>0.92</v>
      </c>
      <c r="H17" s="95">
        <f>ROUND(G17*$E$3*12,2)</f>
        <v>29986.85</v>
      </c>
      <c r="I17" s="96">
        <f>$I$12*0.08</f>
        <v>0</v>
      </c>
      <c r="J17" s="97">
        <f>SUM(H17:I17)</f>
        <v>29986.85</v>
      </c>
    </row>
    <row r="18" spans="1:10" ht="17.25" customHeight="1">
      <c r="A18" s="22"/>
      <c r="B18" s="229" t="s">
        <v>17</v>
      </c>
      <c r="C18" s="229"/>
      <c r="D18" s="229"/>
      <c r="E18" s="94" t="s">
        <v>32</v>
      </c>
      <c r="F18" s="78" t="s">
        <v>19</v>
      </c>
      <c r="G18" s="79">
        <v>0.26</v>
      </c>
      <c r="H18" s="95">
        <f>ROUND(G18*$E$3*12,2)</f>
        <v>8474.54</v>
      </c>
      <c r="I18" s="96">
        <f>$I$12*0.02</f>
        <v>0</v>
      </c>
      <c r="J18" s="97">
        <f aca="true" t="shared" si="0" ref="J18:J37">SUM(H18:I18)</f>
        <v>8474.54</v>
      </c>
    </row>
    <row r="19" spans="1:10" ht="20.25" customHeight="1">
      <c r="A19" s="22"/>
      <c r="B19" s="226" t="s">
        <v>23</v>
      </c>
      <c r="C19" s="226"/>
      <c r="D19" s="226"/>
      <c r="E19" s="98" t="s">
        <v>148</v>
      </c>
      <c r="F19" s="80" t="s">
        <v>20</v>
      </c>
      <c r="G19" s="79">
        <v>0.35</v>
      </c>
      <c r="H19" s="95">
        <f>J19-I19</f>
        <v>13680.18</v>
      </c>
      <c r="I19" s="96">
        <f>$I$12*0.07</f>
        <v>0</v>
      </c>
      <c r="J19" s="99">
        <v>13680.18</v>
      </c>
    </row>
    <row r="20" spans="1:10" ht="20.25" customHeight="1">
      <c r="A20" s="93"/>
      <c r="B20" s="228" t="s">
        <v>31</v>
      </c>
      <c r="C20" s="228"/>
      <c r="D20" s="228"/>
      <c r="E20" s="100" t="s">
        <v>9</v>
      </c>
      <c r="F20" s="81" t="s">
        <v>10</v>
      </c>
      <c r="G20" s="79">
        <v>0.46</v>
      </c>
      <c r="H20" s="95">
        <f>ROUND(G20*$E$3*12,2)</f>
        <v>14993.42</v>
      </c>
      <c r="I20" s="96">
        <f>$I$12*0.04</f>
        <v>0</v>
      </c>
      <c r="J20" s="97">
        <f t="shared" si="0"/>
        <v>14993.42</v>
      </c>
    </row>
    <row r="21" spans="1:10" ht="60.75" customHeight="1">
      <c r="A21" s="22"/>
      <c r="B21" s="226" t="s">
        <v>27</v>
      </c>
      <c r="C21" s="226"/>
      <c r="D21" s="226"/>
      <c r="E21" s="98" t="s">
        <v>149</v>
      </c>
      <c r="F21" s="80" t="s">
        <v>25</v>
      </c>
      <c r="G21" s="79">
        <v>0.11</v>
      </c>
      <c r="H21" s="95">
        <f>J21-I21</f>
        <v>3772.51</v>
      </c>
      <c r="I21" s="96">
        <f>$I$12*0.01</f>
        <v>0</v>
      </c>
      <c r="J21" s="99">
        <v>3772.51</v>
      </c>
    </row>
    <row r="22" spans="1:10" ht="20.25" customHeight="1">
      <c r="A22" s="93"/>
      <c r="B22" s="226" t="s">
        <v>11</v>
      </c>
      <c r="C22" s="226"/>
      <c r="D22" s="226"/>
      <c r="E22" s="98" t="s">
        <v>9</v>
      </c>
      <c r="F22" s="80" t="s">
        <v>12</v>
      </c>
      <c r="G22" s="79">
        <v>0</v>
      </c>
      <c r="H22" s="95">
        <f>J22-I22</f>
        <v>0</v>
      </c>
      <c r="I22" s="96">
        <f>$I$12*0.15</f>
        <v>0</v>
      </c>
      <c r="J22" s="99">
        <f>G22*E3*12</f>
        <v>0</v>
      </c>
    </row>
    <row r="23" spans="1:10" ht="20.25" customHeight="1">
      <c r="A23" s="93"/>
      <c r="B23" s="226" t="s">
        <v>26</v>
      </c>
      <c r="C23" s="227"/>
      <c r="D23" s="227"/>
      <c r="E23" s="101" t="s">
        <v>13</v>
      </c>
      <c r="F23" s="77" t="s">
        <v>14</v>
      </c>
      <c r="G23" s="79">
        <v>0.04</v>
      </c>
      <c r="H23" s="95">
        <f>J23-I23</f>
        <v>5246.94</v>
      </c>
      <c r="I23" s="96">
        <f>$I$12*0.003</f>
        <v>0</v>
      </c>
      <c r="J23" s="99">
        <v>5246.94</v>
      </c>
    </row>
    <row r="24" spans="1:10" ht="28.5" customHeight="1">
      <c r="A24" s="22"/>
      <c r="B24" s="226" t="s">
        <v>150</v>
      </c>
      <c r="C24" s="226"/>
      <c r="D24" s="226"/>
      <c r="E24" s="94" t="s">
        <v>36</v>
      </c>
      <c r="F24" s="39" t="s">
        <v>81</v>
      </c>
      <c r="G24" s="79">
        <v>1.87</v>
      </c>
      <c r="H24" s="95">
        <f aca="true" t="shared" si="1" ref="H24:H29">ROUND(G24*$E$3*12,2)</f>
        <v>60951.53</v>
      </c>
      <c r="I24" s="96">
        <f>$I$12*0.19</f>
        <v>0</v>
      </c>
      <c r="J24" s="97">
        <f t="shared" si="0"/>
        <v>60951.53</v>
      </c>
    </row>
    <row r="25" spans="1:10" ht="26.25" customHeight="1">
      <c r="A25" s="22"/>
      <c r="B25" s="229" t="s">
        <v>15</v>
      </c>
      <c r="C25" s="229"/>
      <c r="D25" s="229"/>
      <c r="E25" s="94" t="s">
        <v>36</v>
      </c>
      <c r="F25" s="39" t="s">
        <v>81</v>
      </c>
      <c r="G25" s="79">
        <v>0.38</v>
      </c>
      <c r="H25" s="102">
        <f t="shared" si="1"/>
        <v>12385.87</v>
      </c>
      <c r="I25" s="96">
        <v>0</v>
      </c>
      <c r="J25" s="97">
        <f t="shared" si="0"/>
        <v>12385.87</v>
      </c>
    </row>
    <row r="26" spans="1:10" ht="30" customHeight="1">
      <c r="A26" s="22"/>
      <c r="B26" s="207" t="s">
        <v>37</v>
      </c>
      <c r="C26" s="231"/>
      <c r="D26" s="232"/>
      <c r="E26" s="94" t="s">
        <v>36</v>
      </c>
      <c r="F26" s="39" t="s">
        <v>81</v>
      </c>
      <c r="G26" s="36">
        <f>2.97-G27-G28</f>
        <v>2.97</v>
      </c>
      <c r="H26" s="102">
        <f t="shared" si="1"/>
        <v>96805.37</v>
      </c>
      <c r="I26" s="103">
        <f>$I$12*0.18</f>
        <v>0</v>
      </c>
      <c r="J26" s="97">
        <f t="shared" si="0"/>
        <v>96805.37</v>
      </c>
    </row>
    <row r="27" spans="1:10" ht="26.25" customHeight="1">
      <c r="A27" s="93"/>
      <c r="B27" s="226" t="s">
        <v>151</v>
      </c>
      <c r="C27" s="226"/>
      <c r="D27" s="226"/>
      <c r="E27" s="94" t="s">
        <v>36</v>
      </c>
      <c r="F27" s="39" t="s">
        <v>81</v>
      </c>
      <c r="G27" s="36">
        <v>0</v>
      </c>
      <c r="H27" s="102">
        <f t="shared" si="1"/>
        <v>0</v>
      </c>
      <c r="I27" s="103">
        <f>$I$12*0.02</f>
        <v>0</v>
      </c>
      <c r="J27" s="97">
        <f t="shared" si="0"/>
        <v>0</v>
      </c>
    </row>
    <row r="28" spans="1:10" ht="17.25" customHeight="1">
      <c r="A28" s="22"/>
      <c r="B28" s="226" t="s">
        <v>152</v>
      </c>
      <c r="C28" s="226"/>
      <c r="D28" s="226"/>
      <c r="E28" s="98" t="s">
        <v>9</v>
      </c>
      <c r="F28" s="39" t="s">
        <v>81</v>
      </c>
      <c r="G28" s="36">
        <v>0</v>
      </c>
      <c r="H28" s="102">
        <f t="shared" si="1"/>
        <v>0</v>
      </c>
      <c r="I28" s="103">
        <f>$I$12*0.02</f>
        <v>0</v>
      </c>
      <c r="J28" s="97">
        <f t="shared" si="0"/>
        <v>0</v>
      </c>
    </row>
    <row r="29" spans="1:10" ht="17.25" customHeight="1">
      <c r="A29" s="22"/>
      <c r="B29" s="227" t="s">
        <v>21</v>
      </c>
      <c r="C29" s="227"/>
      <c r="D29" s="227"/>
      <c r="E29" s="98" t="s">
        <v>9</v>
      </c>
      <c r="F29" s="39" t="s">
        <v>81</v>
      </c>
      <c r="G29" s="77">
        <v>0.92</v>
      </c>
      <c r="H29" s="95">
        <f t="shared" si="1"/>
        <v>29986.85</v>
      </c>
      <c r="I29" s="96">
        <f>$I$12*0.1</f>
        <v>0</v>
      </c>
      <c r="J29" s="97">
        <f t="shared" si="0"/>
        <v>29986.85</v>
      </c>
    </row>
    <row r="30" spans="1:10" ht="21.75" customHeight="1">
      <c r="A30" s="22"/>
      <c r="B30" s="230" t="s">
        <v>153</v>
      </c>
      <c r="C30" s="231"/>
      <c r="D30" s="232"/>
      <c r="E30" s="98" t="s">
        <v>9</v>
      </c>
      <c r="F30" s="39"/>
      <c r="G30" s="77"/>
      <c r="H30" s="102"/>
      <c r="I30" s="92"/>
      <c r="J30" s="104"/>
    </row>
    <row r="31" spans="1:10" ht="27.75" customHeight="1">
      <c r="A31" s="22"/>
      <c r="B31" s="230" t="s">
        <v>154</v>
      </c>
      <c r="C31" s="231"/>
      <c r="D31" s="232"/>
      <c r="E31" s="94" t="s">
        <v>36</v>
      </c>
      <c r="F31" s="39"/>
      <c r="G31" s="77"/>
      <c r="H31" s="102"/>
      <c r="I31" s="92"/>
      <c r="J31" s="104"/>
    </row>
    <row r="32" spans="1:10" ht="15.75">
      <c r="A32" s="22"/>
      <c r="B32" s="233"/>
      <c r="C32" s="234"/>
      <c r="D32" s="235"/>
      <c r="E32" s="98"/>
      <c r="F32" s="39"/>
      <c r="G32" s="77"/>
      <c r="H32" s="102"/>
      <c r="I32" s="92"/>
      <c r="J32" s="104"/>
    </row>
    <row r="33" spans="1:10" ht="15.75">
      <c r="A33" s="22"/>
      <c r="B33" s="233"/>
      <c r="C33" s="234"/>
      <c r="D33" s="235"/>
      <c r="E33" s="98"/>
      <c r="F33" s="39"/>
      <c r="G33" s="77"/>
      <c r="H33" s="102"/>
      <c r="I33" s="92"/>
      <c r="J33" s="104"/>
    </row>
    <row r="34" spans="1:10" ht="15.75">
      <c r="A34" s="22"/>
      <c r="B34" s="193" t="s">
        <v>30</v>
      </c>
      <c r="C34" s="193"/>
      <c r="D34" s="193"/>
      <c r="E34" s="14"/>
      <c r="F34" s="39"/>
      <c r="G34" s="20">
        <f>SUM(G17:G29)</f>
        <v>8.28</v>
      </c>
      <c r="H34" s="45">
        <f>SUM(H17:H33)</f>
        <v>276284.06</v>
      </c>
      <c r="I34" s="105">
        <f>SUM(I17:I33)</f>
        <v>0</v>
      </c>
      <c r="J34" s="45">
        <f>SUM(J17:J33)</f>
        <v>276284.06</v>
      </c>
    </row>
    <row r="35" spans="1:10" ht="15" customHeight="1">
      <c r="A35" s="22" t="s">
        <v>155</v>
      </c>
      <c r="B35" s="239" t="s">
        <v>156</v>
      </c>
      <c r="C35" s="240"/>
      <c r="D35" s="240"/>
      <c r="E35" s="241"/>
      <c r="F35" s="39" t="s">
        <v>81</v>
      </c>
      <c r="G35" s="23">
        <f>H35/E3/12</f>
        <v>1.4327614559556243</v>
      </c>
      <c r="H35" s="106">
        <v>46700</v>
      </c>
      <c r="I35" s="107">
        <v>0</v>
      </c>
      <c r="J35" s="41">
        <f t="shared" si="0"/>
        <v>46700</v>
      </c>
    </row>
    <row r="36" spans="1:10" ht="14.25" customHeight="1">
      <c r="A36" s="25"/>
      <c r="B36" s="237" t="s">
        <v>76</v>
      </c>
      <c r="C36" s="237"/>
      <c r="D36" s="237"/>
      <c r="E36" s="237"/>
      <c r="F36" s="237"/>
      <c r="G36" s="20">
        <f>SUM(G34:G35)</f>
        <v>9.712761455955624</v>
      </c>
      <c r="H36" s="46">
        <f>SUM(H34:H35)</f>
        <v>322984.06</v>
      </c>
      <c r="I36" s="108">
        <f>SUM(I34:I35)</f>
        <v>0</v>
      </c>
      <c r="J36" s="46">
        <f>SUM(J34:J35)</f>
        <v>322984.06</v>
      </c>
    </row>
    <row r="37" spans="1:10" ht="15.75">
      <c r="A37" s="22" t="s">
        <v>157</v>
      </c>
      <c r="B37" s="236" t="s">
        <v>158</v>
      </c>
      <c r="C37" s="236"/>
      <c r="D37" s="236"/>
      <c r="E37" s="236"/>
      <c r="F37" s="236"/>
      <c r="G37" s="23"/>
      <c r="H37" s="109">
        <v>907655</v>
      </c>
      <c r="I37" s="109">
        <v>0</v>
      </c>
      <c r="J37" s="110">
        <f t="shared" si="0"/>
        <v>907655</v>
      </c>
    </row>
    <row r="38" spans="1:10" ht="24.75" customHeight="1">
      <c r="A38" s="25"/>
      <c r="B38" s="237" t="s">
        <v>159</v>
      </c>
      <c r="C38" s="237"/>
      <c r="D38" s="237"/>
      <c r="E38" s="237"/>
      <c r="F38" s="237"/>
      <c r="G38" s="20">
        <f>SUM(G36:G37)</f>
        <v>9.712761455955624</v>
      </c>
      <c r="H38" s="46">
        <f>SUM(H36:H37)</f>
        <v>1230639.06</v>
      </c>
      <c r="I38" s="108">
        <f>SUM(I36:I37)</f>
        <v>0</v>
      </c>
      <c r="J38" s="46">
        <f>SUM(J36:J37)</f>
        <v>1230639.06</v>
      </c>
    </row>
    <row r="39" spans="1:10" ht="27" customHeight="1">
      <c r="A39" s="22">
        <v>3</v>
      </c>
      <c r="B39" s="207" t="s">
        <v>160</v>
      </c>
      <c r="C39" s="208"/>
      <c r="D39" s="208"/>
      <c r="E39" s="208"/>
      <c r="F39" s="208"/>
      <c r="G39" s="209"/>
      <c r="H39" s="95">
        <f>H14-H38</f>
        <v>-75400.23999999999</v>
      </c>
      <c r="I39" s="95">
        <f>I14-I38</f>
        <v>0</v>
      </c>
      <c r="J39" s="111">
        <f>J14-J38</f>
        <v>-75400.23999999999</v>
      </c>
    </row>
    <row r="40" spans="2:6" ht="15.75">
      <c r="B40" s="33"/>
      <c r="F40" s="33"/>
    </row>
    <row r="41" spans="2:9" ht="47.25" customHeight="1">
      <c r="B41" s="238" t="s">
        <v>196</v>
      </c>
      <c r="C41" s="238"/>
      <c r="D41" s="238"/>
      <c r="E41" s="238"/>
      <c r="F41" s="238"/>
      <c r="G41" s="238"/>
      <c r="H41" s="238"/>
      <c r="I41" s="238"/>
    </row>
    <row r="42" spans="2:4" ht="25.5" customHeight="1">
      <c r="B42" s="33"/>
      <c r="C42" s="33"/>
      <c r="D42" s="33"/>
    </row>
    <row r="43" spans="2:4" ht="15.75">
      <c r="B43" s="37" t="s">
        <v>79</v>
      </c>
      <c r="C43" s="37"/>
      <c r="D43" s="37"/>
    </row>
    <row r="44" spans="2:6" ht="15.75">
      <c r="B44" s="48" t="s">
        <v>83</v>
      </c>
      <c r="C44" s="48"/>
      <c r="D44" s="48"/>
      <c r="E44" s="48"/>
      <c r="F44" s="48"/>
    </row>
    <row r="45" spans="2:4" ht="15.75" customHeight="1">
      <c r="B45" s="206" t="s">
        <v>86</v>
      </c>
      <c r="C45" s="206"/>
      <c r="D45" s="206"/>
    </row>
  </sheetData>
  <sheetProtection/>
  <mergeCells count="37">
    <mergeCell ref="B33:D33"/>
    <mergeCell ref="B34:D34"/>
    <mergeCell ref="B35:E35"/>
    <mergeCell ref="B36:F36"/>
    <mergeCell ref="B45:D45"/>
    <mergeCell ref="B37:F37"/>
    <mergeCell ref="B38:F38"/>
    <mergeCell ref="B39:G39"/>
    <mergeCell ref="B41:I41"/>
    <mergeCell ref="B25:D25"/>
    <mergeCell ref="B26:D26"/>
    <mergeCell ref="B27:D27"/>
    <mergeCell ref="B28:D28"/>
    <mergeCell ref="B29:D29"/>
    <mergeCell ref="B30:D30"/>
    <mergeCell ref="B31:D31"/>
    <mergeCell ref="B32:D32"/>
    <mergeCell ref="B17:D17"/>
    <mergeCell ref="B18:D18"/>
    <mergeCell ref="B19:D19"/>
    <mergeCell ref="B20:D20"/>
    <mergeCell ref="B21:D21"/>
    <mergeCell ref="B22:D22"/>
    <mergeCell ref="B23:D23"/>
    <mergeCell ref="B24:D24"/>
    <mergeCell ref="B14:F14"/>
    <mergeCell ref="B15:F15"/>
    <mergeCell ref="B8:F8"/>
    <mergeCell ref="B9:F9"/>
    <mergeCell ref="B10:F10"/>
    <mergeCell ref="B11:F11"/>
    <mergeCell ref="B12:F12"/>
    <mergeCell ref="B13:F13"/>
    <mergeCell ref="A1:J1"/>
    <mergeCell ref="A2:J2"/>
    <mergeCell ref="B7:D7"/>
    <mergeCell ref="H7:J7"/>
  </mergeCells>
  <printOptions/>
  <pageMargins left="0.7874015748031497" right="0" top="0" bottom="0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375" style="0" bestFit="1" customWidth="1"/>
    <col min="5" max="5" width="18.00390625" style="0" customWidth="1"/>
    <col min="6" max="6" width="18.00390625" style="0" hidden="1" customWidth="1"/>
    <col min="7" max="7" width="2.75390625" style="0" hidden="1" customWidth="1"/>
    <col min="8" max="8" width="14.75390625" style="0" customWidth="1"/>
  </cols>
  <sheetData>
    <row r="1" spans="1:8" ht="134.25" customHeight="1">
      <c r="A1" s="201" t="s">
        <v>197</v>
      </c>
      <c r="B1" s="201"/>
      <c r="C1" s="201"/>
      <c r="D1" s="201"/>
      <c r="E1" s="201"/>
      <c r="F1" s="201"/>
      <c r="G1" s="201"/>
      <c r="H1" s="201"/>
    </row>
    <row r="2" spans="1:6" ht="18.75">
      <c r="A2" s="1" t="s">
        <v>82</v>
      </c>
      <c r="B2" s="1" t="s">
        <v>85</v>
      </c>
      <c r="C2" s="2"/>
      <c r="D2" s="2" t="s">
        <v>0</v>
      </c>
      <c r="E2" s="26">
        <v>2716.2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9.5" customHeight="1">
      <c r="A6" s="72" t="s">
        <v>61</v>
      </c>
      <c r="B6" s="251" t="s">
        <v>136</v>
      </c>
      <c r="C6" s="252"/>
      <c r="D6" s="253"/>
      <c r="E6" s="73" t="s">
        <v>6</v>
      </c>
      <c r="F6" s="73" t="s">
        <v>7</v>
      </c>
      <c r="G6" s="122" t="s">
        <v>198</v>
      </c>
      <c r="H6" s="123" t="s">
        <v>130</v>
      </c>
    </row>
    <row r="7" spans="1:8" ht="15.75" customHeight="1">
      <c r="A7" s="74">
        <v>1</v>
      </c>
      <c r="B7" s="254" t="s">
        <v>131</v>
      </c>
      <c r="C7" s="254"/>
      <c r="D7" s="254"/>
      <c r="E7" s="254"/>
      <c r="F7" s="254"/>
      <c r="G7" s="75"/>
      <c r="H7" s="124"/>
    </row>
    <row r="8" spans="1:8" ht="15.75" customHeight="1">
      <c r="A8" s="74"/>
      <c r="B8" s="219" t="s">
        <v>199</v>
      </c>
      <c r="C8" s="219"/>
      <c r="D8" s="219"/>
      <c r="E8" s="219"/>
      <c r="F8" s="219"/>
      <c r="G8" s="23">
        <f>G30</f>
        <v>10.580000000000002</v>
      </c>
      <c r="H8" s="124">
        <f>ROUND($E$2*G8*12,0)</f>
        <v>344849</v>
      </c>
    </row>
    <row r="9" spans="1:8" ht="15.75" customHeight="1">
      <c r="A9" s="74"/>
      <c r="B9" s="244" t="s">
        <v>132</v>
      </c>
      <c r="C9" s="244"/>
      <c r="D9" s="244"/>
      <c r="E9" s="244"/>
      <c r="F9" s="244"/>
      <c r="G9" s="22">
        <v>0.76</v>
      </c>
      <c r="H9" s="124">
        <f>ROUND($E$2*G9*12,0)</f>
        <v>24772</v>
      </c>
    </row>
    <row r="10" spans="1:8" ht="18.75" customHeight="1">
      <c r="A10" s="74">
        <v>2</v>
      </c>
      <c r="B10" s="192" t="s">
        <v>74</v>
      </c>
      <c r="C10" s="192"/>
      <c r="D10" s="192"/>
      <c r="E10" s="192"/>
      <c r="F10" s="192"/>
      <c r="G10" s="77"/>
      <c r="H10" s="124"/>
    </row>
    <row r="11" spans="1:8" ht="15.75" customHeight="1">
      <c r="A11" s="74"/>
      <c r="B11" s="18" t="s">
        <v>75</v>
      </c>
      <c r="C11" s="18"/>
      <c r="D11" s="18"/>
      <c r="E11" s="18"/>
      <c r="F11" s="5"/>
      <c r="G11" s="88"/>
      <c r="H11" s="124"/>
    </row>
    <row r="12" spans="1:8" ht="15.75" customHeight="1">
      <c r="A12" s="125"/>
      <c r="B12" s="245" t="s">
        <v>200</v>
      </c>
      <c r="C12" s="245"/>
      <c r="D12" s="245"/>
      <c r="E12" s="94" t="s">
        <v>32</v>
      </c>
      <c r="F12" s="78" t="s">
        <v>24</v>
      </c>
      <c r="G12" s="79">
        <v>1.06</v>
      </c>
      <c r="H12" s="76">
        <f aca="true" t="shared" si="0" ref="H12:H30">ROUND($E$2*G12*12,0)</f>
        <v>34550</v>
      </c>
    </row>
    <row r="13" spans="1:8" ht="15.75" customHeight="1">
      <c r="A13" s="125"/>
      <c r="B13" s="245" t="s">
        <v>17</v>
      </c>
      <c r="C13" s="245"/>
      <c r="D13" s="245"/>
      <c r="E13" s="94" t="s">
        <v>32</v>
      </c>
      <c r="F13" s="78" t="s">
        <v>19</v>
      </c>
      <c r="G13" s="79">
        <v>0.28</v>
      </c>
      <c r="H13" s="76">
        <f t="shared" si="0"/>
        <v>9126</v>
      </c>
    </row>
    <row r="14" spans="1:8" ht="15.75" customHeight="1">
      <c r="A14" s="125"/>
      <c r="B14" s="242" t="s">
        <v>23</v>
      </c>
      <c r="C14" s="242"/>
      <c r="D14" s="242"/>
      <c r="E14" s="98" t="s">
        <v>148</v>
      </c>
      <c r="F14" s="80" t="s">
        <v>20</v>
      </c>
      <c r="G14" s="79">
        <v>0.39</v>
      </c>
      <c r="H14" s="76">
        <f t="shared" si="0"/>
        <v>12712</v>
      </c>
    </row>
    <row r="15" spans="1:8" ht="18.75" customHeight="1">
      <c r="A15" s="125"/>
      <c r="B15" s="246" t="s">
        <v>31</v>
      </c>
      <c r="C15" s="246"/>
      <c r="D15" s="246"/>
      <c r="E15" s="100" t="s">
        <v>9</v>
      </c>
      <c r="F15" s="81" t="s">
        <v>10</v>
      </c>
      <c r="G15" s="79">
        <v>0.51</v>
      </c>
      <c r="H15" s="76">
        <f t="shared" si="0"/>
        <v>16623</v>
      </c>
    </row>
    <row r="16" spans="1:8" ht="51">
      <c r="A16" s="125"/>
      <c r="B16" s="242" t="s">
        <v>27</v>
      </c>
      <c r="C16" s="242"/>
      <c r="D16" s="242"/>
      <c r="E16" s="98" t="s">
        <v>149</v>
      </c>
      <c r="F16" s="80" t="s">
        <v>25</v>
      </c>
      <c r="G16" s="79">
        <v>0.12</v>
      </c>
      <c r="H16" s="76">
        <f t="shared" si="0"/>
        <v>3911</v>
      </c>
    </row>
    <row r="17" spans="1:8" ht="31.5" customHeight="1">
      <c r="A17" s="125"/>
      <c r="B17" s="242" t="s">
        <v>11</v>
      </c>
      <c r="C17" s="242"/>
      <c r="D17" s="242"/>
      <c r="E17" s="98" t="s">
        <v>9</v>
      </c>
      <c r="F17" s="80" t="s">
        <v>12</v>
      </c>
      <c r="G17" s="79">
        <v>0</v>
      </c>
      <c r="H17" s="76">
        <f t="shared" si="0"/>
        <v>0</v>
      </c>
    </row>
    <row r="18" spans="1:8" ht="15.75" customHeight="1">
      <c r="A18" s="125"/>
      <c r="B18" s="242" t="s">
        <v>26</v>
      </c>
      <c r="C18" s="243"/>
      <c r="D18" s="243"/>
      <c r="E18" s="101" t="s">
        <v>13</v>
      </c>
      <c r="F18" s="77" t="s">
        <v>201</v>
      </c>
      <c r="G18" s="79">
        <v>0.05</v>
      </c>
      <c r="H18" s="76">
        <f t="shared" si="0"/>
        <v>1630</v>
      </c>
    </row>
    <row r="19" spans="1:8" ht="15.75" customHeight="1">
      <c r="A19" s="125"/>
      <c r="B19" s="242" t="s">
        <v>150</v>
      </c>
      <c r="C19" s="242"/>
      <c r="D19" s="242"/>
      <c r="E19" s="94" t="s">
        <v>36</v>
      </c>
      <c r="F19" s="80" t="s">
        <v>81</v>
      </c>
      <c r="G19" s="79">
        <v>2.15</v>
      </c>
      <c r="H19" s="76">
        <f t="shared" si="0"/>
        <v>70078</v>
      </c>
    </row>
    <row r="20" spans="1:8" ht="33" customHeight="1">
      <c r="A20" s="125"/>
      <c r="B20" s="245" t="s">
        <v>15</v>
      </c>
      <c r="C20" s="245"/>
      <c r="D20" s="245"/>
      <c r="E20" s="94" t="s">
        <v>134</v>
      </c>
      <c r="F20" s="80" t="s">
        <v>81</v>
      </c>
      <c r="G20" s="79">
        <v>0.44</v>
      </c>
      <c r="H20" s="76">
        <f t="shared" si="0"/>
        <v>14342</v>
      </c>
    </row>
    <row r="21" spans="1:8" ht="25.5">
      <c r="A21" s="125"/>
      <c r="B21" s="242" t="s">
        <v>37</v>
      </c>
      <c r="C21" s="243"/>
      <c r="D21" s="243"/>
      <c r="E21" s="94" t="s">
        <v>36</v>
      </c>
      <c r="F21" s="80" t="s">
        <v>81</v>
      </c>
      <c r="G21" s="79">
        <f>3.46-G22-G23</f>
        <v>3.46</v>
      </c>
      <c r="H21" s="76">
        <f t="shared" si="0"/>
        <v>112777</v>
      </c>
    </row>
    <row r="22" spans="1:8" ht="31.5" customHeight="1">
      <c r="A22" s="125"/>
      <c r="B22" s="242" t="s">
        <v>202</v>
      </c>
      <c r="C22" s="242"/>
      <c r="D22" s="242"/>
      <c r="E22" s="98" t="s">
        <v>9</v>
      </c>
      <c r="F22" s="80" t="s">
        <v>81</v>
      </c>
      <c r="G22" s="79">
        <v>0</v>
      </c>
      <c r="H22" s="76">
        <f t="shared" si="0"/>
        <v>0</v>
      </c>
    </row>
    <row r="23" spans="1:8" ht="15.75" customHeight="1">
      <c r="A23" s="125"/>
      <c r="B23" s="242" t="s">
        <v>152</v>
      </c>
      <c r="C23" s="242"/>
      <c r="D23" s="242"/>
      <c r="E23" s="98" t="s">
        <v>9</v>
      </c>
      <c r="F23" s="80" t="s">
        <v>81</v>
      </c>
      <c r="G23" s="79">
        <v>0</v>
      </c>
      <c r="H23" s="76">
        <f t="shared" si="0"/>
        <v>0</v>
      </c>
    </row>
    <row r="24" spans="1:8" ht="36.75" customHeight="1">
      <c r="A24" s="125"/>
      <c r="B24" s="243" t="s">
        <v>21</v>
      </c>
      <c r="C24" s="243"/>
      <c r="D24" s="243"/>
      <c r="E24" s="94" t="s">
        <v>36</v>
      </c>
      <c r="F24" s="80" t="s">
        <v>81</v>
      </c>
      <c r="G24" s="79">
        <v>1.06</v>
      </c>
      <c r="H24" s="76">
        <f t="shared" si="0"/>
        <v>34550</v>
      </c>
    </row>
    <row r="25" spans="1:8" ht="15.75">
      <c r="A25" s="22"/>
      <c r="B25" s="230" t="s">
        <v>153</v>
      </c>
      <c r="C25" s="231"/>
      <c r="D25" s="232"/>
      <c r="E25" s="98" t="s">
        <v>9</v>
      </c>
      <c r="F25" s="80"/>
      <c r="G25" s="79"/>
      <c r="H25" s="76"/>
    </row>
    <row r="26" spans="1:8" ht="25.5">
      <c r="A26" s="22"/>
      <c r="B26" s="230" t="s">
        <v>154</v>
      </c>
      <c r="C26" s="231"/>
      <c r="D26" s="232"/>
      <c r="E26" s="94" t="s">
        <v>36</v>
      </c>
      <c r="F26" s="80"/>
      <c r="G26" s="79"/>
      <c r="H26" s="76"/>
    </row>
    <row r="27" spans="1:8" ht="31.5" customHeight="1">
      <c r="A27" s="125"/>
      <c r="B27" s="233"/>
      <c r="C27" s="234"/>
      <c r="D27" s="235"/>
      <c r="E27" s="94"/>
      <c r="F27" s="80"/>
      <c r="G27" s="79"/>
      <c r="H27" s="76"/>
    </row>
    <row r="28" spans="1:8" ht="15.75">
      <c r="A28" s="125"/>
      <c r="B28" s="255" t="s">
        <v>30</v>
      </c>
      <c r="C28" s="256"/>
      <c r="D28" s="257"/>
      <c r="E28" s="14"/>
      <c r="F28" s="80"/>
      <c r="G28" s="20">
        <f>SUM(G12:G27)</f>
        <v>9.520000000000001</v>
      </c>
      <c r="H28" s="76">
        <f t="shared" si="0"/>
        <v>310299</v>
      </c>
    </row>
    <row r="29" spans="1:8" ht="15.75">
      <c r="A29" s="74" t="s">
        <v>155</v>
      </c>
      <c r="B29" s="239" t="s">
        <v>203</v>
      </c>
      <c r="C29" s="240"/>
      <c r="D29" s="240"/>
      <c r="E29" s="241"/>
      <c r="F29" s="50" t="s">
        <v>135</v>
      </c>
      <c r="G29" s="23">
        <v>1.06</v>
      </c>
      <c r="H29" s="76">
        <f t="shared" si="0"/>
        <v>34550</v>
      </c>
    </row>
    <row r="30" spans="1:8" ht="15.75">
      <c r="A30" s="74"/>
      <c r="B30" s="247" t="s">
        <v>204</v>
      </c>
      <c r="C30" s="247"/>
      <c r="D30" s="247"/>
      <c r="E30" s="247"/>
      <c r="F30" s="247"/>
      <c r="G30" s="20">
        <f>SUM(G28:G29)</f>
        <v>10.580000000000002</v>
      </c>
      <c r="H30" s="126">
        <f t="shared" si="0"/>
        <v>344849</v>
      </c>
    </row>
    <row r="31" spans="1:8" ht="16.5" thickBot="1">
      <c r="A31" s="127">
        <v>3</v>
      </c>
      <c r="B31" s="248" t="s">
        <v>205</v>
      </c>
      <c r="C31" s="249"/>
      <c r="D31" s="250"/>
      <c r="E31" s="128"/>
      <c r="F31" s="129" t="s">
        <v>135</v>
      </c>
      <c r="G31" s="82">
        <v>0.76</v>
      </c>
      <c r="H31" s="130">
        <f>ROUND($E$2*G31*12,0)</f>
        <v>24772</v>
      </c>
    </row>
    <row r="33" spans="2:5" ht="15.75">
      <c r="B33" s="33" t="s">
        <v>206</v>
      </c>
      <c r="C33" s="33"/>
      <c r="D33" s="33"/>
      <c r="E33" s="33"/>
    </row>
  </sheetData>
  <sheetProtection/>
  <mergeCells count="26">
    <mergeCell ref="B29:E29"/>
    <mergeCell ref="B30:F30"/>
    <mergeCell ref="B31:D31"/>
    <mergeCell ref="A1:H1"/>
    <mergeCell ref="B6:D6"/>
    <mergeCell ref="B7:F7"/>
    <mergeCell ref="B28:D28"/>
    <mergeCell ref="B19:D19"/>
    <mergeCell ref="B20:D20"/>
    <mergeCell ref="B8:F8"/>
    <mergeCell ref="B9:F9"/>
    <mergeCell ref="B10:F10"/>
    <mergeCell ref="B16:D16"/>
    <mergeCell ref="B25:D25"/>
    <mergeCell ref="B17:D17"/>
    <mergeCell ref="B18:D18"/>
    <mergeCell ref="B12:D12"/>
    <mergeCell ref="B13:D13"/>
    <mergeCell ref="B14:D14"/>
    <mergeCell ref="B15:D15"/>
    <mergeCell ref="B26:D26"/>
    <mergeCell ref="B27:D27"/>
    <mergeCell ref="B21:D21"/>
    <mergeCell ref="B22:D22"/>
    <mergeCell ref="B23:D23"/>
    <mergeCell ref="B24:D24"/>
  </mergeCells>
  <printOptions/>
  <pageMargins left="0.7874015748031497" right="0" top="0" bottom="0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22" sqref="A1:IV16384"/>
    </sheetView>
  </sheetViews>
  <sheetFormatPr defaultColWidth="9.00390625" defaultRowHeight="15.75"/>
  <cols>
    <col min="1" max="1" width="4.875" style="0" customWidth="1"/>
    <col min="2" max="2" width="25.125" style="0" customWidth="1"/>
    <col min="3" max="3" width="3.75390625" style="0" customWidth="1"/>
    <col min="4" max="4" width="21.75390625" style="0" customWidth="1"/>
    <col min="5" max="5" width="17.75390625" style="0" customWidth="1"/>
    <col min="6" max="6" width="0.12890625" style="0" hidden="1" customWidth="1"/>
    <col min="7" max="7" width="8.875" style="0" hidden="1" customWidth="1"/>
    <col min="8" max="8" width="13.25390625" style="0" bestFit="1" customWidth="1"/>
    <col min="9" max="9" width="11.75390625" style="0" bestFit="1" customWidth="1"/>
    <col min="10" max="10" width="13.25390625" style="0" bestFit="1" customWidth="1"/>
  </cols>
  <sheetData>
    <row r="1" spans="1:10" ht="110.25" customHeight="1">
      <c r="A1" s="201" t="s">
        <v>207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63.75" customHeight="1">
      <c r="A2" s="186" t="s">
        <v>208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6" ht="18.75">
      <c r="A3" s="1" t="s">
        <v>82</v>
      </c>
      <c r="B3" s="1" t="s">
        <v>85</v>
      </c>
      <c r="C3" s="2"/>
      <c r="D3" s="2" t="s">
        <v>0</v>
      </c>
      <c r="E3" s="26">
        <v>2716.2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0" ht="39" customHeight="1">
      <c r="A7" s="21" t="s">
        <v>61</v>
      </c>
      <c r="B7" s="187" t="s">
        <v>136</v>
      </c>
      <c r="C7" s="188"/>
      <c r="D7" s="189"/>
      <c r="E7" s="11" t="s">
        <v>6</v>
      </c>
      <c r="F7" s="11" t="s">
        <v>7</v>
      </c>
      <c r="G7" s="84" t="s">
        <v>22</v>
      </c>
      <c r="H7" s="180" t="s">
        <v>137</v>
      </c>
      <c r="I7" s="224"/>
      <c r="J7" s="225"/>
    </row>
    <row r="8" spans="1:10" ht="15.75">
      <c r="A8" s="22">
        <v>1</v>
      </c>
      <c r="B8" s="216"/>
      <c r="C8" s="217"/>
      <c r="D8" s="217"/>
      <c r="E8" s="217"/>
      <c r="F8" s="218"/>
      <c r="G8" s="85"/>
      <c r="H8" s="86" t="s">
        <v>138</v>
      </c>
      <c r="I8" s="87" t="s">
        <v>139</v>
      </c>
      <c r="J8" s="87" t="s">
        <v>140</v>
      </c>
    </row>
    <row r="9" spans="1:10" ht="15.75">
      <c r="A9" s="22"/>
      <c r="B9" s="216" t="s">
        <v>141</v>
      </c>
      <c r="C9" s="217"/>
      <c r="D9" s="217"/>
      <c r="E9" s="217"/>
      <c r="F9" s="218"/>
      <c r="G9" s="88"/>
      <c r="H9" s="88"/>
      <c r="I9" s="57"/>
      <c r="J9" s="87"/>
    </row>
    <row r="10" spans="1:10" ht="15.75">
      <c r="A10" s="89"/>
      <c r="B10" s="215" t="s">
        <v>142</v>
      </c>
      <c r="C10" s="215"/>
      <c r="D10" s="215"/>
      <c r="E10" s="215"/>
      <c r="F10" s="215"/>
      <c r="G10" s="15"/>
      <c r="H10" s="90">
        <v>327280.15</v>
      </c>
      <c r="I10" s="75"/>
      <c r="J10" s="91">
        <f>H10+I10</f>
        <v>327280.15</v>
      </c>
    </row>
    <row r="11" spans="1:10" ht="15.75">
      <c r="A11" s="89"/>
      <c r="B11" s="215" t="s">
        <v>143</v>
      </c>
      <c r="C11" s="215"/>
      <c r="D11" s="215"/>
      <c r="E11" s="215"/>
      <c r="F11" s="215"/>
      <c r="G11" s="15"/>
      <c r="H11" s="16">
        <v>23566.64</v>
      </c>
      <c r="I11" s="75"/>
      <c r="J11" s="91">
        <f>H11+I11</f>
        <v>23566.64</v>
      </c>
    </row>
    <row r="12" spans="1:10" ht="15.75">
      <c r="A12" s="22"/>
      <c r="B12" s="215" t="s">
        <v>144</v>
      </c>
      <c r="C12" s="215"/>
      <c r="D12" s="215"/>
      <c r="E12" s="215"/>
      <c r="F12" s="215"/>
      <c r="G12" s="15"/>
      <c r="H12" s="90"/>
      <c r="I12" s="75">
        <v>0</v>
      </c>
      <c r="J12" s="91">
        <f>H12+I12</f>
        <v>0</v>
      </c>
    </row>
    <row r="13" spans="1:10" ht="15.75">
      <c r="A13" s="22"/>
      <c r="B13" s="215" t="s">
        <v>145</v>
      </c>
      <c r="C13" s="215"/>
      <c r="D13" s="215"/>
      <c r="E13" s="215"/>
      <c r="F13" s="215"/>
      <c r="G13" s="15"/>
      <c r="H13" s="90">
        <v>0</v>
      </c>
      <c r="I13" s="92">
        <v>0</v>
      </c>
      <c r="J13" s="91">
        <f>H13+I13</f>
        <v>0</v>
      </c>
    </row>
    <row r="14" spans="1:10" ht="15.75">
      <c r="A14" s="22"/>
      <c r="B14" s="219" t="s">
        <v>146</v>
      </c>
      <c r="C14" s="219"/>
      <c r="D14" s="219"/>
      <c r="E14" s="219"/>
      <c r="F14" s="219"/>
      <c r="G14" s="15"/>
      <c r="H14" s="111">
        <f>SUM(H10:H13)</f>
        <v>350846.79000000004</v>
      </c>
      <c r="I14" s="111">
        <f>SUM(I10:I13)</f>
        <v>0</v>
      </c>
      <c r="J14" s="111">
        <f>SUM(J10:J13)</f>
        <v>350846.79000000004</v>
      </c>
    </row>
    <row r="15" spans="1:10" ht="18.75">
      <c r="A15" s="22">
        <v>2</v>
      </c>
      <c r="B15" s="192" t="s">
        <v>74</v>
      </c>
      <c r="C15" s="192"/>
      <c r="D15" s="192"/>
      <c r="E15" s="192"/>
      <c r="F15" s="192"/>
      <c r="G15" s="15"/>
      <c r="H15" s="90"/>
      <c r="I15" s="75"/>
      <c r="J15" s="34"/>
    </row>
    <row r="16" spans="1:10" ht="15.75">
      <c r="A16" s="22" t="s">
        <v>147</v>
      </c>
      <c r="B16" s="18" t="s">
        <v>75</v>
      </c>
      <c r="C16" s="18"/>
      <c r="D16" s="18"/>
      <c r="E16" s="18"/>
      <c r="F16" s="5"/>
      <c r="G16" s="86"/>
      <c r="H16" s="86"/>
      <c r="I16" s="83"/>
      <c r="J16" s="87"/>
    </row>
    <row r="17" spans="1:10" ht="33" customHeight="1">
      <c r="A17" s="93"/>
      <c r="B17" s="228" t="s">
        <v>133</v>
      </c>
      <c r="C17" s="228"/>
      <c r="D17" s="228"/>
      <c r="E17" s="94" t="s">
        <v>32</v>
      </c>
      <c r="F17" s="78" t="s">
        <v>24</v>
      </c>
      <c r="G17" s="79">
        <v>1.06</v>
      </c>
      <c r="H17" s="95">
        <f>ROUND(G17*$E$3*12,2)</f>
        <v>34550.06</v>
      </c>
      <c r="I17" s="96">
        <f>$I$12*0.08</f>
        <v>0</v>
      </c>
      <c r="J17" s="97">
        <f>SUM(H17:I17)</f>
        <v>34550.06</v>
      </c>
    </row>
    <row r="18" spans="1:10" ht="17.25" customHeight="1">
      <c r="A18" s="22"/>
      <c r="B18" s="229" t="s">
        <v>17</v>
      </c>
      <c r="C18" s="229"/>
      <c r="D18" s="229"/>
      <c r="E18" s="94" t="s">
        <v>32</v>
      </c>
      <c r="F18" s="78" t="s">
        <v>19</v>
      </c>
      <c r="G18" s="79">
        <v>0.28</v>
      </c>
      <c r="H18" s="95">
        <f>ROUND(G18*$E$3*12,2)</f>
        <v>9126.43</v>
      </c>
      <c r="I18" s="96">
        <f>$I$12*0.02</f>
        <v>0</v>
      </c>
      <c r="J18" s="97">
        <f>SUM(H18:I18)</f>
        <v>9126.43</v>
      </c>
    </row>
    <row r="19" spans="1:10" ht="20.25" customHeight="1">
      <c r="A19" s="22"/>
      <c r="B19" s="226" t="s">
        <v>23</v>
      </c>
      <c r="C19" s="226"/>
      <c r="D19" s="226"/>
      <c r="E19" s="98" t="s">
        <v>148</v>
      </c>
      <c r="F19" s="80" t="s">
        <v>20</v>
      </c>
      <c r="G19" s="79">
        <v>0.39</v>
      </c>
      <c r="H19" s="95">
        <f>J19-I19</f>
        <v>13207.19</v>
      </c>
      <c r="I19" s="96">
        <f>$I$12*0.07</f>
        <v>0</v>
      </c>
      <c r="J19" s="99">
        <v>13207.19</v>
      </c>
    </row>
    <row r="20" spans="1:10" ht="20.25" customHeight="1">
      <c r="A20" s="93"/>
      <c r="B20" s="228" t="s">
        <v>31</v>
      </c>
      <c r="C20" s="228"/>
      <c r="D20" s="228"/>
      <c r="E20" s="100" t="s">
        <v>9</v>
      </c>
      <c r="F20" s="81" t="s">
        <v>10</v>
      </c>
      <c r="G20" s="79">
        <v>0.51</v>
      </c>
      <c r="H20" s="95">
        <f>ROUND(G20*$E$3*12,2)</f>
        <v>16623.14</v>
      </c>
      <c r="I20" s="96">
        <f>$I$12*0.04</f>
        <v>0</v>
      </c>
      <c r="J20" s="97">
        <f>SUM(H20:I20)</f>
        <v>16623.14</v>
      </c>
    </row>
    <row r="21" spans="1:10" ht="60.75" customHeight="1">
      <c r="A21" s="22"/>
      <c r="B21" s="226" t="s">
        <v>27</v>
      </c>
      <c r="C21" s="226"/>
      <c r="D21" s="226"/>
      <c r="E21" s="98" t="s">
        <v>149</v>
      </c>
      <c r="F21" s="80" t="s">
        <v>25</v>
      </c>
      <c r="G21" s="79">
        <v>0.12</v>
      </c>
      <c r="H21" s="95">
        <f>J21-I21</f>
        <v>4094.37</v>
      </c>
      <c r="I21" s="96">
        <f>$I$12*0.01</f>
        <v>0</v>
      </c>
      <c r="J21" s="99">
        <v>4094.37</v>
      </c>
    </row>
    <row r="22" spans="1:10" ht="20.25" customHeight="1">
      <c r="A22" s="93"/>
      <c r="B22" s="226" t="s">
        <v>11</v>
      </c>
      <c r="C22" s="226"/>
      <c r="D22" s="226"/>
      <c r="E22" s="98" t="s">
        <v>9</v>
      </c>
      <c r="F22" s="80" t="s">
        <v>12</v>
      </c>
      <c r="G22" s="79">
        <v>0</v>
      </c>
      <c r="H22" s="95">
        <f>J22-I22</f>
        <v>0</v>
      </c>
      <c r="I22" s="96">
        <f>$I$12*0.15</f>
        <v>0</v>
      </c>
      <c r="J22" s="99">
        <f>G22*E3*12</f>
        <v>0</v>
      </c>
    </row>
    <row r="23" spans="1:10" ht="20.25" customHeight="1">
      <c r="A23" s="93"/>
      <c r="B23" s="226" t="s">
        <v>26</v>
      </c>
      <c r="C23" s="227"/>
      <c r="D23" s="227"/>
      <c r="E23" s="101" t="s">
        <v>13</v>
      </c>
      <c r="F23" s="77" t="s">
        <v>14</v>
      </c>
      <c r="G23" s="79">
        <v>0.05</v>
      </c>
      <c r="H23" s="95">
        <f>J23-I23</f>
        <v>3911.73</v>
      </c>
      <c r="I23" s="96">
        <f>$I$12*0.003</f>
        <v>0</v>
      </c>
      <c r="J23" s="99">
        <v>3911.73</v>
      </c>
    </row>
    <row r="24" spans="1:10" ht="28.5" customHeight="1">
      <c r="A24" s="22"/>
      <c r="B24" s="226" t="s">
        <v>150</v>
      </c>
      <c r="C24" s="226"/>
      <c r="D24" s="226"/>
      <c r="E24" s="94" t="s">
        <v>36</v>
      </c>
      <c r="F24" s="39" t="s">
        <v>81</v>
      </c>
      <c r="G24" s="79">
        <v>2.15</v>
      </c>
      <c r="H24" s="95">
        <f aca="true" t="shared" si="0" ref="H24:H29">ROUND(G24*$E$3*12,2)</f>
        <v>70077.96</v>
      </c>
      <c r="I24" s="96">
        <f>$I$12*0.19</f>
        <v>0</v>
      </c>
      <c r="J24" s="97">
        <f aca="true" t="shared" si="1" ref="J24:J29">SUM(H24:I24)</f>
        <v>70077.96</v>
      </c>
    </row>
    <row r="25" spans="1:10" ht="26.25" customHeight="1">
      <c r="A25" s="22"/>
      <c r="B25" s="229" t="s">
        <v>15</v>
      </c>
      <c r="C25" s="229"/>
      <c r="D25" s="229"/>
      <c r="E25" s="94" t="s">
        <v>36</v>
      </c>
      <c r="F25" s="39" t="s">
        <v>81</v>
      </c>
      <c r="G25" s="79">
        <v>0.44</v>
      </c>
      <c r="H25" s="102">
        <f>ROUND((G25*$E$3/4*3*12)+(E3*G25/4*8),2)</f>
        <v>13146.41</v>
      </c>
      <c r="I25" s="96">
        <v>0</v>
      </c>
      <c r="J25" s="97">
        <f t="shared" si="1"/>
        <v>13146.41</v>
      </c>
    </row>
    <row r="26" spans="1:10" ht="30" customHeight="1">
      <c r="A26" s="22"/>
      <c r="B26" s="207" t="s">
        <v>37</v>
      </c>
      <c r="C26" s="231"/>
      <c r="D26" s="232"/>
      <c r="E26" s="94" t="s">
        <v>36</v>
      </c>
      <c r="F26" s="39" t="s">
        <v>81</v>
      </c>
      <c r="G26" s="36">
        <f>3.46-G27-G28</f>
        <v>3.46</v>
      </c>
      <c r="H26" s="102">
        <f t="shared" si="0"/>
        <v>112776.62</v>
      </c>
      <c r="I26" s="103">
        <f>$I$12*0.18</f>
        <v>0</v>
      </c>
      <c r="J26" s="97">
        <f t="shared" si="1"/>
        <v>112776.62</v>
      </c>
    </row>
    <row r="27" spans="1:10" ht="26.25" customHeight="1">
      <c r="A27" s="93"/>
      <c r="B27" s="226" t="s">
        <v>151</v>
      </c>
      <c r="C27" s="226"/>
      <c r="D27" s="226"/>
      <c r="E27" s="94" t="s">
        <v>36</v>
      </c>
      <c r="F27" s="39" t="s">
        <v>81</v>
      </c>
      <c r="G27" s="36">
        <v>0</v>
      </c>
      <c r="H27" s="102">
        <f t="shared" si="0"/>
        <v>0</v>
      </c>
      <c r="I27" s="103">
        <f>$I$12*0.02</f>
        <v>0</v>
      </c>
      <c r="J27" s="97">
        <f t="shared" si="1"/>
        <v>0</v>
      </c>
    </row>
    <row r="28" spans="1:10" ht="17.25" customHeight="1">
      <c r="A28" s="22"/>
      <c r="B28" s="226" t="s">
        <v>152</v>
      </c>
      <c r="C28" s="226"/>
      <c r="D28" s="226"/>
      <c r="E28" s="98" t="s">
        <v>9</v>
      </c>
      <c r="F28" s="39" t="s">
        <v>81</v>
      </c>
      <c r="G28" s="36">
        <v>0</v>
      </c>
      <c r="H28" s="102">
        <f t="shared" si="0"/>
        <v>0</v>
      </c>
      <c r="I28" s="103">
        <f>$I$12*0.02</f>
        <v>0</v>
      </c>
      <c r="J28" s="97">
        <f t="shared" si="1"/>
        <v>0</v>
      </c>
    </row>
    <row r="29" spans="1:10" ht="27" customHeight="1">
      <c r="A29" s="22"/>
      <c r="B29" s="227" t="s">
        <v>21</v>
      </c>
      <c r="C29" s="227"/>
      <c r="D29" s="227"/>
      <c r="E29" s="98" t="s">
        <v>36</v>
      </c>
      <c r="F29" s="39" t="s">
        <v>81</v>
      </c>
      <c r="G29" s="77">
        <v>1.06</v>
      </c>
      <c r="H29" s="95">
        <f t="shared" si="0"/>
        <v>34550.06</v>
      </c>
      <c r="I29" s="96">
        <f>$I$12*0.1</f>
        <v>0</v>
      </c>
      <c r="J29" s="97">
        <f t="shared" si="1"/>
        <v>34550.06</v>
      </c>
    </row>
    <row r="30" spans="1:10" ht="15.75">
      <c r="A30" s="22"/>
      <c r="B30" s="233"/>
      <c r="C30" s="234"/>
      <c r="D30" s="235"/>
      <c r="E30" s="98"/>
      <c r="F30" s="39"/>
      <c r="G30" s="77"/>
      <c r="H30" s="102"/>
      <c r="I30" s="92"/>
      <c r="J30" s="104"/>
    </row>
    <row r="31" spans="1:10" ht="15.75">
      <c r="A31" s="22"/>
      <c r="B31" s="233"/>
      <c r="C31" s="234"/>
      <c r="D31" s="235"/>
      <c r="E31" s="98"/>
      <c r="F31" s="39"/>
      <c r="G31" s="77"/>
      <c r="H31" s="102"/>
      <c r="I31" s="92"/>
      <c r="J31" s="104"/>
    </row>
    <row r="32" spans="1:10" ht="15.75">
      <c r="A32" s="22"/>
      <c r="B32" s="193" t="s">
        <v>30</v>
      </c>
      <c r="C32" s="193"/>
      <c r="D32" s="193"/>
      <c r="E32" s="14"/>
      <c r="F32" s="39"/>
      <c r="G32" s="20">
        <f>SUM(G17:G29)</f>
        <v>9.520000000000001</v>
      </c>
      <c r="H32" s="45">
        <f>SUM(H17:H31)</f>
        <v>312063.97000000003</v>
      </c>
      <c r="I32" s="105">
        <f>SUM(I17:I31)</f>
        <v>0</v>
      </c>
      <c r="J32" s="45">
        <f>SUM(J17:J31)</f>
        <v>312063.97000000003</v>
      </c>
    </row>
    <row r="33" spans="1:10" ht="21.75" customHeight="1">
      <c r="A33" s="22"/>
      <c r="B33" s="230" t="s">
        <v>153</v>
      </c>
      <c r="C33" s="231"/>
      <c r="D33" s="232"/>
      <c r="E33" s="98" t="s">
        <v>9</v>
      </c>
      <c r="F33" s="39"/>
      <c r="G33" s="77"/>
      <c r="H33" s="102"/>
      <c r="I33" s="92"/>
      <c r="J33" s="104"/>
    </row>
    <row r="34" spans="1:10" ht="27.75" customHeight="1">
      <c r="A34" s="22"/>
      <c r="B34" s="230" t="s">
        <v>154</v>
      </c>
      <c r="C34" s="231"/>
      <c r="D34" s="232"/>
      <c r="E34" s="94" t="s">
        <v>36</v>
      </c>
      <c r="F34" s="39"/>
      <c r="G34" s="77"/>
      <c r="H34" s="102"/>
      <c r="I34" s="92"/>
      <c r="J34" s="104"/>
    </row>
    <row r="35" spans="1:10" ht="15.75">
      <c r="A35" s="22"/>
      <c r="B35" s="233"/>
      <c r="C35" s="234"/>
      <c r="D35" s="235"/>
      <c r="E35" s="98"/>
      <c r="F35" s="39"/>
      <c r="G35" s="77"/>
      <c r="H35" s="102"/>
      <c r="I35" s="92"/>
      <c r="J35" s="104"/>
    </row>
    <row r="36" spans="1:10" ht="15" customHeight="1">
      <c r="A36" s="22" t="s">
        <v>155</v>
      </c>
      <c r="B36" s="239" t="s">
        <v>156</v>
      </c>
      <c r="C36" s="240"/>
      <c r="D36" s="240"/>
      <c r="E36" s="241"/>
      <c r="F36" s="39" t="s">
        <v>81</v>
      </c>
      <c r="G36" s="23">
        <f>H36/E3/12</f>
        <v>1.8130415040620476</v>
      </c>
      <c r="H36" s="106">
        <v>59095</v>
      </c>
      <c r="I36" s="107">
        <v>0</v>
      </c>
      <c r="J36" s="41">
        <f>SUM(H36:I36)</f>
        <v>59095</v>
      </c>
    </row>
    <row r="37" spans="1:10" ht="14.25" customHeight="1">
      <c r="A37" s="25"/>
      <c r="B37" s="237" t="s">
        <v>76</v>
      </c>
      <c r="C37" s="237"/>
      <c r="D37" s="237"/>
      <c r="E37" s="237"/>
      <c r="F37" s="237"/>
      <c r="G37" s="20">
        <f>SUM(G32:G36)</f>
        <v>11.333041504062049</v>
      </c>
      <c r="H37" s="46">
        <f>SUM(H32:H36)</f>
        <v>371158.97000000003</v>
      </c>
      <c r="I37" s="108">
        <f>SUM(I32:I36)</f>
        <v>0</v>
      </c>
      <c r="J37" s="46">
        <f>SUM(J32:J36)</f>
        <v>371158.97000000003</v>
      </c>
    </row>
    <row r="38" spans="1:10" ht="15.75">
      <c r="A38" s="22" t="s">
        <v>157</v>
      </c>
      <c r="B38" s="236" t="s">
        <v>158</v>
      </c>
      <c r="C38" s="236"/>
      <c r="D38" s="236"/>
      <c r="E38" s="236"/>
      <c r="F38" s="236"/>
      <c r="G38" s="23"/>
      <c r="H38" s="109">
        <v>0</v>
      </c>
      <c r="I38" s="109">
        <v>0</v>
      </c>
      <c r="J38" s="110">
        <f>SUM(H38:I38)</f>
        <v>0</v>
      </c>
    </row>
    <row r="39" spans="1:10" ht="24.75" customHeight="1">
      <c r="A39" s="25"/>
      <c r="B39" s="237" t="s">
        <v>159</v>
      </c>
      <c r="C39" s="237"/>
      <c r="D39" s="237"/>
      <c r="E39" s="237"/>
      <c r="F39" s="237"/>
      <c r="G39" s="20">
        <f>SUM(G37:G38)</f>
        <v>11.333041504062049</v>
      </c>
      <c r="H39" s="46">
        <f>SUM(H37:H38)</f>
        <v>371158.97000000003</v>
      </c>
      <c r="I39" s="108">
        <f>SUM(I37:I38)</f>
        <v>0</v>
      </c>
      <c r="J39" s="46">
        <f>SUM(J37:J38)</f>
        <v>371158.97000000003</v>
      </c>
    </row>
    <row r="40" spans="1:10" ht="27" customHeight="1">
      <c r="A40" s="22">
        <v>3</v>
      </c>
      <c r="B40" s="207" t="s">
        <v>209</v>
      </c>
      <c r="C40" s="208"/>
      <c r="D40" s="208"/>
      <c r="E40" s="208"/>
      <c r="F40" s="208"/>
      <c r="G40" s="209"/>
      <c r="H40" s="95">
        <f>H14-H39</f>
        <v>-20312.179999999993</v>
      </c>
      <c r="I40" s="95">
        <f>I14-I39</f>
        <v>0</v>
      </c>
      <c r="J40" s="111">
        <f>J14-J39</f>
        <v>-20312.179999999993</v>
      </c>
    </row>
    <row r="41" spans="2:6" ht="15.75">
      <c r="B41" s="33"/>
      <c r="F41" s="33"/>
    </row>
    <row r="42" spans="2:9" ht="21" customHeight="1">
      <c r="B42" s="238" t="s">
        <v>196</v>
      </c>
      <c r="C42" s="238"/>
      <c r="D42" s="238"/>
      <c r="E42" s="238"/>
      <c r="F42" s="238"/>
      <c r="G42" s="238"/>
      <c r="H42" s="238"/>
      <c r="I42" s="238"/>
    </row>
    <row r="43" spans="2:4" ht="18" customHeight="1">
      <c r="B43" s="33"/>
      <c r="C43" s="33"/>
      <c r="D43" s="33"/>
    </row>
    <row r="44" spans="2:4" ht="15.75">
      <c r="B44" s="37" t="s">
        <v>79</v>
      </c>
      <c r="C44" s="37"/>
      <c r="D44" s="37"/>
    </row>
    <row r="45" spans="2:6" ht="15.75">
      <c r="B45" s="48" t="s">
        <v>210</v>
      </c>
      <c r="C45" s="48"/>
      <c r="D45" s="48"/>
      <c r="E45" s="48"/>
      <c r="F45" s="48"/>
    </row>
    <row r="46" spans="2:4" ht="15.75" customHeight="1">
      <c r="B46" s="206" t="s">
        <v>86</v>
      </c>
      <c r="C46" s="206"/>
      <c r="D46" s="206"/>
    </row>
  </sheetData>
  <sheetProtection/>
  <mergeCells count="38">
    <mergeCell ref="B8:F8"/>
    <mergeCell ref="B9:F9"/>
    <mergeCell ref="A1:J1"/>
    <mergeCell ref="A2:J2"/>
    <mergeCell ref="B7:D7"/>
    <mergeCell ref="H7:J7"/>
    <mergeCell ref="B14:F14"/>
    <mergeCell ref="B15:F15"/>
    <mergeCell ref="B17:D17"/>
    <mergeCell ref="B18:D18"/>
    <mergeCell ref="B10:F10"/>
    <mergeCell ref="B11:F11"/>
    <mergeCell ref="B12:F12"/>
    <mergeCell ref="B13:F13"/>
    <mergeCell ref="B19:D19"/>
    <mergeCell ref="B20:D20"/>
    <mergeCell ref="B23:D23"/>
    <mergeCell ref="B24:D24"/>
    <mergeCell ref="B21:D21"/>
    <mergeCell ref="B22:D22"/>
    <mergeCell ref="B29:D29"/>
    <mergeCell ref="B30:D30"/>
    <mergeCell ref="B25:D25"/>
    <mergeCell ref="B26:D26"/>
    <mergeCell ref="B27:D27"/>
    <mergeCell ref="B28:D28"/>
    <mergeCell ref="B46:D46"/>
    <mergeCell ref="B33:D33"/>
    <mergeCell ref="B34:D34"/>
    <mergeCell ref="B35:D35"/>
    <mergeCell ref="B38:F38"/>
    <mergeCell ref="B39:F39"/>
    <mergeCell ref="B40:G40"/>
    <mergeCell ref="B42:I42"/>
    <mergeCell ref="B31:D31"/>
    <mergeCell ref="B32:D32"/>
    <mergeCell ref="B36:E36"/>
    <mergeCell ref="B37:F37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12" sqref="B12:D12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375" style="0" bestFit="1" customWidth="1"/>
    <col min="5" max="5" width="25.875" style="0" bestFit="1" customWidth="1"/>
    <col min="6" max="6" width="19.25390625" style="0" hidden="1" customWidth="1"/>
    <col min="7" max="7" width="8.50390625" style="0" customWidth="1"/>
    <col min="8" max="8" width="14.75390625" style="0" customWidth="1"/>
  </cols>
  <sheetData>
    <row r="1" spans="1:8" ht="134.25" customHeight="1">
      <c r="A1" s="201" t="s">
        <v>211</v>
      </c>
      <c r="B1" s="201"/>
      <c r="C1" s="201"/>
      <c r="D1" s="201"/>
      <c r="E1" s="201"/>
      <c r="F1" s="201"/>
      <c r="G1" s="201"/>
      <c r="H1" s="201"/>
    </row>
    <row r="2" spans="1:6" ht="18.75">
      <c r="A2" s="1" t="s">
        <v>82</v>
      </c>
      <c r="B2" s="1" t="s">
        <v>85</v>
      </c>
      <c r="C2" s="2"/>
      <c r="D2" s="2" t="s">
        <v>0</v>
      </c>
      <c r="E2" s="26">
        <v>2716.2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94.5" customHeight="1">
      <c r="A6" s="72" t="s">
        <v>61</v>
      </c>
      <c r="B6" s="251" t="s">
        <v>136</v>
      </c>
      <c r="C6" s="252"/>
      <c r="D6" s="253"/>
      <c r="E6" s="73" t="s">
        <v>6</v>
      </c>
      <c r="F6" s="73" t="s">
        <v>7</v>
      </c>
      <c r="G6" s="142" t="s">
        <v>218</v>
      </c>
      <c r="H6" s="143" t="s">
        <v>219</v>
      </c>
    </row>
    <row r="7" spans="1:8" ht="18.75" customHeight="1">
      <c r="A7" s="74">
        <v>1</v>
      </c>
      <c r="B7" s="192" t="s">
        <v>74</v>
      </c>
      <c r="C7" s="192"/>
      <c r="D7" s="192"/>
      <c r="E7" s="192"/>
      <c r="F7" s="192"/>
      <c r="G7" s="77"/>
      <c r="H7" s="124"/>
    </row>
    <row r="8" spans="1:8" ht="15.75" customHeight="1">
      <c r="A8" s="74" t="s">
        <v>220</v>
      </c>
      <c r="B8" s="18" t="s">
        <v>75</v>
      </c>
      <c r="C8" s="18"/>
      <c r="D8" s="18"/>
      <c r="E8" s="18"/>
      <c r="F8" s="5"/>
      <c r="G8" s="88"/>
      <c r="H8" s="124"/>
    </row>
    <row r="9" spans="1:8" ht="30.75" customHeight="1">
      <c r="A9" s="125"/>
      <c r="B9" s="260" t="s">
        <v>215</v>
      </c>
      <c r="C9" s="245"/>
      <c r="D9" s="245"/>
      <c r="E9" s="94" t="s">
        <v>32</v>
      </c>
      <c r="F9" s="78" t="s">
        <v>24</v>
      </c>
      <c r="G9" s="79">
        <v>1.09</v>
      </c>
      <c r="H9" s="76">
        <f aca="true" t="shared" si="0" ref="H9:H27">ROUND($E$2*G9*12,0)</f>
        <v>35528</v>
      </c>
    </row>
    <row r="10" spans="1:8" ht="15.75" customHeight="1">
      <c r="A10" s="125"/>
      <c r="B10" s="245" t="s">
        <v>17</v>
      </c>
      <c r="C10" s="245"/>
      <c r="D10" s="245"/>
      <c r="E10" s="94" t="s">
        <v>32</v>
      </c>
      <c r="F10" s="78" t="s">
        <v>19</v>
      </c>
      <c r="G10" s="79">
        <v>0.29</v>
      </c>
      <c r="H10" s="76">
        <f t="shared" si="0"/>
        <v>9452</v>
      </c>
    </row>
    <row r="11" spans="1:8" ht="15.75" customHeight="1">
      <c r="A11" s="125"/>
      <c r="B11" s="242" t="s">
        <v>23</v>
      </c>
      <c r="C11" s="242"/>
      <c r="D11" s="242"/>
      <c r="E11" s="98" t="s">
        <v>148</v>
      </c>
      <c r="F11" s="80" t="s">
        <v>20</v>
      </c>
      <c r="G11" s="79">
        <v>0.4</v>
      </c>
      <c r="H11" s="76">
        <f t="shared" si="0"/>
        <v>13038</v>
      </c>
    </row>
    <row r="12" spans="1:8" ht="18.75" customHeight="1">
      <c r="A12" s="125"/>
      <c r="B12" s="246" t="s">
        <v>31</v>
      </c>
      <c r="C12" s="246"/>
      <c r="D12" s="246"/>
      <c r="E12" s="100" t="s">
        <v>9</v>
      </c>
      <c r="F12" s="81" t="s">
        <v>10</v>
      </c>
      <c r="G12" s="79">
        <v>0.53</v>
      </c>
      <c r="H12" s="76">
        <f t="shared" si="0"/>
        <v>17275</v>
      </c>
    </row>
    <row r="13" spans="1:8" ht="38.25">
      <c r="A13" s="125"/>
      <c r="B13" s="242" t="s">
        <v>27</v>
      </c>
      <c r="C13" s="242"/>
      <c r="D13" s="242"/>
      <c r="E13" s="98" t="s">
        <v>149</v>
      </c>
      <c r="F13" s="80" t="s">
        <v>25</v>
      </c>
      <c r="G13" s="79">
        <v>0.12</v>
      </c>
      <c r="H13" s="76">
        <f t="shared" si="0"/>
        <v>3911</v>
      </c>
    </row>
    <row r="14" spans="1:8" ht="31.5" customHeight="1">
      <c r="A14" s="125"/>
      <c r="B14" s="242" t="s">
        <v>11</v>
      </c>
      <c r="C14" s="242"/>
      <c r="D14" s="242"/>
      <c r="E14" s="98" t="s">
        <v>9</v>
      </c>
      <c r="F14" s="80" t="s">
        <v>12</v>
      </c>
      <c r="G14" s="79">
        <v>0</v>
      </c>
      <c r="H14" s="76">
        <f t="shared" si="0"/>
        <v>0</v>
      </c>
    </row>
    <row r="15" spans="1:8" ht="15.75" customHeight="1">
      <c r="A15" s="125"/>
      <c r="B15" s="242" t="s">
        <v>26</v>
      </c>
      <c r="C15" s="243"/>
      <c r="D15" s="243"/>
      <c r="E15" s="101" t="s">
        <v>13</v>
      </c>
      <c r="F15" s="77" t="s">
        <v>201</v>
      </c>
      <c r="G15" s="79">
        <v>0.05</v>
      </c>
      <c r="H15" s="76">
        <f t="shared" si="0"/>
        <v>1630</v>
      </c>
    </row>
    <row r="16" spans="1:8" ht="24.75" customHeight="1">
      <c r="A16" s="125"/>
      <c r="B16" s="242" t="s">
        <v>150</v>
      </c>
      <c r="C16" s="242"/>
      <c r="D16" s="242"/>
      <c r="E16" s="94" t="s">
        <v>36</v>
      </c>
      <c r="F16" s="80" t="s">
        <v>81</v>
      </c>
      <c r="G16" s="79">
        <v>2.21</v>
      </c>
      <c r="H16" s="76">
        <f t="shared" si="0"/>
        <v>72034</v>
      </c>
    </row>
    <row r="17" spans="1:8" ht="51.75" customHeight="1">
      <c r="A17" s="125"/>
      <c r="B17" s="245" t="s">
        <v>15</v>
      </c>
      <c r="C17" s="245"/>
      <c r="D17" s="245"/>
      <c r="E17" s="94" t="s">
        <v>134</v>
      </c>
      <c r="F17" s="80" t="s">
        <v>81</v>
      </c>
      <c r="G17" s="79">
        <v>0.45</v>
      </c>
      <c r="H17" s="76">
        <f>ROUND($E$2*G17/4*3*12,0)</f>
        <v>11001</v>
      </c>
    </row>
    <row r="18" spans="1:8" ht="15.75">
      <c r="A18" s="125"/>
      <c r="B18" s="242" t="s">
        <v>37</v>
      </c>
      <c r="C18" s="243"/>
      <c r="D18" s="243"/>
      <c r="E18" s="94" t="s">
        <v>36</v>
      </c>
      <c r="F18" s="80" t="s">
        <v>81</v>
      </c>
      <c r="G18" s="79">
        <f>3.57-G19-G20</f>
        <v>3.57</v>
      </c>
      <c r="H18" s="76">
        <f t="shared" si="0"/>
        <v>116362</v>
      </c>
    </row>
    <row r="19" spans="1:8" ht="18.75" customHeight="1">
      <c r="A19" s="125"/>
      <c r="B19" s="242" t="s">
        <v>202</v>
      </c>
      <c r="C19" s="242"/>
      <c r="D19" s="242"/>
      <c r="E19" s="98" t="s">
        <v>9</v>
      </c>
      <c r="F19" s="80" t="s">
        <v>81</v>
      </c>
      <c r="G19" s="79">
        <v>0</v>
      </c>
      <c r="H19" s="76">
        <f t="shared" si="0"/>
        <v>0</v>
      </c>
    </row>
    <row r="20" spans="1:8" ht="15.75" customHeight="1">
      <c r="A20" s="125"/>
      <c r="B20" s="242" t="s">
        <v>152</v>
      </c>
      <c r="C20" s="242"/>
      <c r="D20" s="242"/>
      <c r="E20" s="98" t="s">
        <v>9</v>
      </c>
      <c r="F20" s="80" t="s">
        <v>81</v>
      </c>
      <c r="G20" s="79">
        <v>0</v>
      </c>
      <c r="H20" s="76">
        <f t="shared" si="0"/>
        <v>0</v>
      </c>
    </row>
    <row r="21" spans="1:8" ht="36.75" customHeight="1">
      <c r="A21" s="125"/>
      <c r="B21" s="243" t="s">
        <v>21</v>
      </c>
      <c r="C21" s="243"/>
      <c r="D21" s="243"/>
      <c r="E21" s="94" t="s">
        <v>36</v>
      </c>
      <c r="F21" s="80" t="s">
        <v>81</v>
      </c>
      <c r="G21" s="79">
        <v>1.09</v>
      </c>
      <c r="H21" s="76">
        <f t="shared" si="0"/>
        <v>35528</v>
      </c>
    </row>
    <row r="22" spans="1:8" ht="15.75" hidden="1">
      <c r="A22" s="22"/>
      <c r="B22" s="230" t="s">
        <v>153</v>
      </c>
      <c r="C22" s="231"/>
      <c r="D22" s="232"/>
      <c r="E22" s="98" t="s">
        <v>9</v>
      </c>
      <c r="F22" s="80"/>
      <c r="G22" s="79"/>
      <c r="H22" s="76"/>
    </row>
    <row r="23" spans="1:8" ht="15.75" hidden="1">
      <c r="A23" s="22"/>
      <c r="B23" s="230" t="s">
        <v>154</v>
      </c>
      <c r="C23" s="231"/>
      <c r="D23" s="232"/>
      <c r="E23" s="94" t="s">
        <v>36</v>
      </c>
      <c r="F23" s="80"/>
      <c r="G23" s="79"/>
      <c r="H23" s="76"/>
    </row>
    <row r="24" spans="1:8" ht="21" customHeight="1" hidden="1">
      <c r="A24" s="125"/>
      <c r="B24" s="233"/>
      <c r="C24" s="234"/>
      <c r="D24" s="235"/>
      <c r="E24" s="94"/>
      <c r="F24" s="80"/>
      <c r="G24" s="79"/>
      <c r="H24" s="76"/>
    </row>
    <row r="25" spans="1:8" ht="15.75">
      <c r="A25" s="125"/>
      <c r="B25" s="255" t="s">
        <v>30</v>
      </c>
      <c r="C25" s="256"/>
      <c r="D25" s="257"/>
      <c r="E25" s="14"/>
      <c r="F25" s="80"/>
      <c r="G25" s="20">
        <f>SUM(G9:G24)</f>
        <v>9.8</v>
      </c>
      <c r="H25" s="76">
        <f t="shared" si="0"/>
        <v>319425</v>
      </c>
    </row>
    <row r="26" spans="1:8" ht="15.75">
      <c r="A26" s="74" t="s">
        <v>221</v>
      </c>
      <c r="B26" s="239" t="s">
        <v>212</v>
      </c>
      <c r="C26" s="240"/>
      <c r="D26" s="240"/>
      <c r="E26" s="241"/>
      <c r="F26" s="50" t="s">
        <v>135</v>
      </c>
      <c r="G26" s="23">
        <v>1.09</v>
      </c>
      <c r="H26" s="76">
        <v>0</v>
      </c>
    </row>
    <row r="27" spans="1:8" ht="15.75">
      <c r="A27" s="74"/>
      <c r="B27" s="247" t="s">
        <v>204</v>
      </c>
      <c r="C27" s="247"/>
      <c r="D27" s="247"/>
      <c r="E27" s="247"/>
      <c r="F27" s="247"/>
      <c r="G27" s="20">
        <f>SUM(G25:G26)</f>
        <v>10.89</v>
      </c>
      <c r="H27" s="126">
        <f t="shared" si="0"/>
        <v>354953</v>
      </c>
    </row>
    <row r="28" spans="1:8" ht="16.5" thickBot="1">
      <c r="A28" s="127" t="s">
        <v>100</v>
      </c>
      <c r="B28" s="258" t="s">
        <v>213</v>
      </c>
      <c r="C28" s="249"/>
      <c r="D28" s="250"/>
      <c r="E28" s="128"/>
      <c r="F28" s="129" t="s">
        <v>135</v>
      </c>
      <c r="G28" s="82">
        <v>0.78</v>
      </c>
      <c r="H28" s="130">
        <f>ROUND($E$2*G28*12,0)</f>
        <v>25424</v>
      </c>
    </row>
    <row r="29" spans="2:7" ht="47.25" customHeight="1">
      <c r="B29" s="259" t="s">
        <v>214</v>
      </c>
      <c r="C29" s="259"/>
      <c r="D29" s="259"/>
      <c r="E29" s="259"/>
      <c r="F29" s="131"/>
      <c r="G29" s="132"/>
    </row>
    <row r="30" spans="1:8" ht="33.75" customHeight="1">
      <c r="A30" s="238" t="s">
        <v>216</v>
      </c>
      <c r="B30" s="238"/>
      <c r="C30" s="238"/>
      <c r="D30" s="238"/>
      <c r="E30" s="238"/>
      <c r="F30" s="238"/>
      <c r="G30" s="238"/>
      <c r="H30" s="238"/>
    </row>
    <row r="31" spans="2:5" ht="15.75">
      <c r="B31" s="33" t="s">
        <v>206</v>
      </c>
      <c r="C31" s="33"/>
      <c r="D31" s="33"/>
      <c r="E31" s="33"/>
    </row>
  </sheetData>
  <sheetProtection/>
  <mergeCells count="25">
    <mergeCell ref="B13:D13"/>
    <mergeCell ref="B14:D14"/>
    <mergeCell ref="B19:D19"/>
    <mergeCell ref="B20:D20"/>
    <mergeCell ref="B17:D17"/>
    <mergeCell ref="B18:D18"/>
    <mergeCell ref="A30:H30"/>
    <mergeCell ref="A1:H1"/>
    <mergeCell ref="B6:D6"/>
    <mergeCell ref="B7:F7"/>
    <mergeCell ref="B9:D9"/>
    <mergeCell ref="B10:D10"/>
    <mergeCell ref="B11:D11"/>
    <mergeCell ref="B12:D12"/>
    <mergeCell ref="B15:D15"/>
    <mergeCell ref="B16:D16"/>
    <mergeCell ref="B27:F27"/>
    <mergeCell ref="B28:D28"/>
    <mergeCell ref="B29:E29"/>
    <mergeCell ref="B21:D21"/>
    <mergeCell ref="B22:D22"/>
    <mergeCell ref="B23:D23"/>
    <mergeCell ref="B24:D24"/>
    <mergeCell ref="B25:D25"/>
    <mergeCell ref="B26:E26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J6" sqref="J6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375" style="0" bestFit="1" customWidth="1"/>
    <col min="5" max="5" width="17.125" style="0" customWidth="1"/>
    <col min="6" max="6" width="19.25390625" style="0" hidden="1" customWidth="1"/>
    <col min="7" max="8" width="11.25390625" style="0" customWidth="1"/>
    <col min="9" max="9" width="16.75390625" style="0" customWidth="1"/>
  </cols>
  <sheetData>
    <row r="1" spans="1:10" ht="87" customHeight="1">
      <c r="A1" s="148"/>
      <c r="B1" s="148"/>
      <c r="C1" s="149"/>
      <c r="D1" s="149"/>
      <c r="E1" s="266" t="s">
        <v>245</v>
      </c>
      <c r="F1" s="266"/>
      <c r="G1" s="266"/>
      <c r="H1" s="266"/>
      <c r="I1" s="266"/>
      <c r="J1" s="149"/>
    </row>
    <row r="2" spans="1:9" ht="15.75" customHeight="1">
      <c r="A2" s="148"/>
      <c r="B2" s="148"/>
      <c r="C2" s="148"/>
      <c r="D2" s="148"/>
      <c r="E2" s="148"/>
      <c r="F2" s="148"/>
      <c r="G2" s="148"/>
      <c r="H2" s="148"/>
      <c r="I2" s="148"/>
    </row>
    <row r="3" spans="1:9" ht="15.75" customHeight="1">
      <c r="A3" s="148"/>
      <c r="B3" s="148"/>
      <c r="C3" s="148"/>
      <c r="D3" s="148"/>
      <c r="E3" s="148"/>
      <c r="F3" s="148"/>
      <c r="G3" s="148"/>
      <c r="H3" s="148"/>
      <c r="I3" s="148"/>
    </row>
    <row r="4" spans="1:9" ht="20.25">
      <c r="A4" s="201" t="s">
        <v>246</v>
      </c>
      <c r="B4" s="201"/>
      <c r="C4" s="201"/>
      <c r="D4" s="201"/>
      <c r="E4" s="201"/>
      <c r="F4" s="201"/>
      <c r="G4" s="201"/>
      <c r="H4" s="201"/>
      <c r="I4" s="201"/>
    </row>
    <row r="5" spans="1:9" ht="15.75" customHeight="1">
      <c r="A5" s="148"/>
      <c r="B5" s="148"/>
      <c r="C5" s="148"/>
      <c r="D5" s="148"/>
      <c r="E5" s="148"/>
      <c r="F5" s="148"/>
      <c r="G5" s="148"/>
      <c r="H5" s="148"/>
      <c r="I5" s="148"/>
    </row>
    <row r="6" spans="1:9" ht="20.25">
      <c r="A6" s="148"/>
      <c r="B6" s="265" t="s">
        <v>243</v>
      </c>
      <c r="C6" s="265"/>
      <c r="D6" s="265"/>
      <c r="E6" s="265"/>
      <c r="F6" s="265"/>
      <c r="G6" s="265"/>
      <c r="H6" s="152"/>
      <c r="I6" s="148"/>
    </row>
    <row r="7" spans="1:9" ht="20.25">
      <c r="A7" s="148"/>
      <c r="B7" s="265" t="s">
        <v>244</v>
      </c>
      <c r="C7" s="265"/>
      <c r="D7" s="265"/>
      <c r="E7" s="265"/>
      <c r="F7" s="265"/>
      <c r="G7" s="265"/>
      <c r="H7" s="152"/>
      <c r="I7" s="148"/>
    </row>
    <row r="8" spans="1:9" ht="15.75" customHeight="1">
      <c r="A8" s="148"/>
      <c r="B8" s="148"/>
      <c r="C8" s="148"/>
      <c r="D8" s="148"/>
      <c r="E8" s="148"/>
      <c r="F8" s="148"/>
      <c r="G8" s="148"/>
      <c r="H8" s="148"/>
      <c r="I8" s="148"/>
    </row>
    <row r="9" spans="1:6" ht="18.75">
      <c r="A9" s="1" t="s">
        <v>82</v>
      </c>
      <c r="B9" s="1" t="s">
        <v>85</v>
      </c>
      <c r="C9" s="2"/>
      <c r="D9" s="2" t="s">
        <v>0</v>
      </c>
      <c r="E9" s="26">
        <v>2718.4</v>
      </c>
      <c r="F9" s="2"/>
    </row>
    <row r="10" spans="2:6" ht="15.75">
      <c r="B10" s="3" t="s">
        <v>1</v>
      </c>
      <c r="C10" s="35">
        <v>5</v>
      </c>
      <c r="D10" s="2" t="s">
        <v>2</v>
      </c>
      <c r="E10" s="27">
        <v>60</v>
      </c>
      <c r="F10" s="2"/>
    </row>
    <row r="11" spans="2:8" ht="15.75">
      <c r="B11" s="3" t="s">
        <v>3</v>
      </c>
      <c r="C11" s="4">
        <v>4</v>
      </c>
      <c r="D11" s="2" t="s">
        <v>4</v>
      </c>
      <c r="E11" s="2" t="s">
        <v>16</v>
      </c>
      <c r="F11" s="2"/>
      <c r="G11" s="2"/>
      <c r="H11" s="2"/>
    </row>
    <row r="12" spans="2:8" ht="16.5" thickBot="1">
      <c r="B12" s="3"/>
      <c r="C12" s="4"/>
      <c r="D12" s="2" t="s">
        <v>5</v>
      </c>
      <c r="E12" s="2" t="s">
        <v>16</v>
      </c>
      <c r="F12" s="2"/>
      <c r="G12" s="2"/>
      <c r="H12" s="2"/>
    </row>
    <row r="13" spans="1:9" ht="94.5" customHeight="1">
      <c r="A13" s="72" t="s">
        <v>61</v>
      </c>
      <c r="B13" s="251" t="s">
        <v>136</v>
      </c>
      <c r="C13" s="252"/>
      <c r="D13" s="253"/>
      <c r="E13" s="73" t="s">
        <v>6</v>
      </c>
      <c r="F13" s="73" t="s">
        <v>7</v>
      </c>
      <c r="G13" s="142" t="s">
        <v>239</v>
      </c>
      <c r="H13" s="142" t="s">
        <v>240</v>
      </c>
      <c r="I13" s="143" t="s">
        <v>241</v>
      </c>
    </row>
    <row r="14" spans="1:9" ht="22.5" customHeight="1">
      <c r="A14" s="154">
        <v>1</v>
      </c>
      <c r="B14" s="187">
        <v>2</v>
      </c>
      <c r="C14" s="188"/>
      <c r="D14" s="189"/>
      <c r="E14" s="183">
        <v>3</v>
      </c>
      <c r="F14" s="183"/>
      <c r="G14" s="185">
        <v>4</v>
      </c>
      <c r="H14" s="185">
        <v>5</v>
      </c>
      <c r="I14" s="184"/>
    </row>
    <row r="15" spans="1:9" ht="24.75" customHeight="1">
      <c r="A15" s="74">
        <v>1</v>
      </c>
      <c r="B15" s="261" t="s">
        <v>74</v>
      </c>
      <c r="C15" s="261"/>
      <c r="D15" s="261"/>
      <c r="E15" s="261"/>
      <c r="F15" s="261"/>
      <c r="G15" s="77"/>
      <c r="H15" s="151"/>
      <c r="I15" s="181" t="s">
        <v>242</v>
      </c>
    </row>
    <row r="16" spans="1:9" ht="15.75" customHeight="1">
      <c r="A16" s="74" t="s">
        <v>220</v>
      </c>
      <c r="B16" s="144" t="s">
        <v>75</v>
      </c>
      <c r="C16" s="144"/>
      <c r="D16" s="144"/>
      <c r="E16" s="144"/>
      <c r="F16" s="145"/>
      <c r="G16" s="57"/>
      <c r="H16" s="55"/>
      <c r="I16" s="124"/>
    </row>
    <row r="17" spans="1:9" ht="30.75" customHeight="1">
      <c r="A17" s="125"/>
      <c r="B17" s="260" t="s">
        <v>215</v>
      </c>
      <c r="C17" s="245"/>
      <c r="D17" s="245"/>
      <c r="E17" s="94" t="s">
        <v>32</v>
      </c>
      <c r="F17" s="78" t="s">
        <v>24</v>
      </c>
      <c r="G17" s="79">
        <v>1.12</v>
      </c>
      <c r="H17" s="166">
        <v>1.19</v>
      </c>
      <c r="I17" s="76">
        <f>ROUND($E$9*G17*6,0)+ROUND($E$9*H17*6,0)</f>
        <v>37677</v>
      </c>
    </row>
    <row r="18" spans="1:9" ht="15.75" customHeight="1">
      <c r="A18" s="125"/>
      <c r="B18" s="245" t="s">
        <v>17</v>
      </c>
      <c r="C18" s="245"/>
      <c r="D18" s="245"/>
      <c r="E18" s="94" t="s">
        <v>32</v>
      </c>
      <c r="F18" s="78" t="s">
        <v>19</v>
      </c>
      <c r="G18" s="79">
        <v>0.3</v>
      </c>
      <c r="H18" s="166">
        <v>0.32</v>
      </c>
      <c r="I18" s="76">
        <f aca="true" t="shared" si="0" ref="I18:I36">ROUND($E$9*G18*6,0)+ROUND($E$9*H18*6,0)</f>
        <v>10112</v>
      </c>
    </row>
    <row r="19" spans="1:9" ht="15.75" customHeight="1">
      <c r="A19" s="125"/>
      <c r="B19" s="242" t="s">
        <v>23</v>
      </c>
      <c r="C19" s="242"/>
      <c r="D19" s="242"/>
      <c r="E19" s="98" t="s">
        <v>148</v>
      </c>
      <c r="F19" s="80" t="s">
        <v>20</v>
      </c>
      <c r="G19" s="79">
        <v>0.11</v>
      </c>
      <c r="H19" s="166">
        <v>0.12</v>
      </c>
      <c r="I19" s="76">
        <f t="shared" si="0"/>
        <v>3751</v>
      </c>
    </row>
    <row r="20" spans="1:9" ht="18.75" customHeight="1">
      <c r="A20" s="125"/>
      <c r="B20" s="246" t="s">
        <v>31</v>
      </c>
      <c r="C20" s="246"/>
      <c r="D20" s="246"/>
      <c r="E20" s="100" t="s">
        <v>9</v>
      </c>
      <c r="F20" s="81" t="s">
        <v>10</v>
      </c>
      <c r="G20" s="79">
        <v>0.54</v>
      </c>
      <c r="H20" s="166">
        <v>0.58</v>
      </c>
      <c r="I20" s="76">
        <f t="shared" si="0"/>
        <v>18268</v>
      </c>
    </row>
    <row r="21" spans="1:9" ht="51">
      <c r="A21" s="125"/>
      <c r="B21" s="242" t="s">
        <v>27</v>
      </c>
      <c r="C21" s="242"/>
      <c r="D21" s="242"/>
      <c r="E21" s="98" t="s">
        <v>149</v>
      </c>
      <c r="F21" s="80" t="s">
        <v>25</v>
      </c>
      <c r="G21" s="79">
        <v>0.13</v>
      </c>
      <c r="H21" s="166">
        <v>0.14</v>
      </c>
      <c r="I21" s="76">
        <f t="shared" si="0"/>
        <v>4403</v>
      </c>
    </row>
    <row r="22" spans="1:9" ht="31.5" customHeight="1">
      <c r="A22" s="125"/>
      <c r="B22" s="242" t="s">
        <v>11</v>
      </c>
      <c r="C22" s="242"/>
      <c r="D22" s="242"/>
      <c r="E22" s="98" t="s">
        <v>9</v>
      </c>
      <c r="F22" s="80" t="s">
        <v>12</v>
      </c>
      <c r="G22" s="198">
        <v>0</v>
      </c>
      <c r="H22" s="199">
        <v>0</v>
      </c>
      <c r="I22" s="76">
        <f t="shared" si="0"/>
        <v>0</v>
      </c>
    </row>
    <row r="23" spans="1:9" ht="15.75" customHeight="1">
      <c r="A23" s="125"/>
      <c r="B23" s="242" t="s">
        <v>26</v>
      </c>
      <c r="C23" s="243"/>
      <c r="D23" s="243"/>
      <c r="E23" s="101" t="s">
        <v>13</v>
      </c>
      <c r="F23" s="77" t="s">
        <v>201</v>
      </c>
      <c r="G23" s="79">
        <v>0.05</v>
      </c>
      <c r="H23" s="166">
        <v>0.05</v>
      </c>
      <c r="I23" s="76">
        <f t="shared" si="0"/>
        <v>1632</v>
      </c>
    </row>
    <row r="24" spans="1:9" ht="51">
      <c r="A24" s="125"/>
      <c r="B24" s="242" t="s">
        <v>150</v>
      </c>
      <c r="C24" s="242"/>
      <c r="D24" s="242"/>
      <c r="E24" s="163" t="s">
        <v>229</v>
      </c>
      <c r="F24" s="80" t="s">
        <v>81</v>
      </c>
      <c r="G24" s="79">
        <v>1.63</v>
      </c>
      <c r="H24" s="166">
        <v>1.74</v>
      </c>
      <c r="I24" s="76">
        <f t="shared" si="0"/>
        <v>54966</v>
      </c>
    </row>
    <row r="25" spans="1:9" ht="51">
      <c r="A25" s="125"/>
      <c r="B25" s="245" t="s">
        <v>15</v>
      </c>
      <c r="C25" s="245"/>
      <c r="D25" s="245"/>
      <c r="E25" s="94" t="s">
        <v>134</v>
      </c>
      <c r="F25" s="80" t="s">
        <v>81</v>
      </c>
      <c r="G25" s="79">
        <v>0.47</v>
      </c>
      <c r="H25" s="166">
        <v>0.5</v>
      </c>
      <c r="I25" s="76">
        <f t="shared" si="0"/>
        <v>15821</v>
      </c>
    </row>
    <row r="26" spans="1:9" ht="34.5" customHeight="1">
      <c r="A26" s="125"/>
      <c r="B26" s="242" t="s">
        <v>37</v>
      </c>
      <c r="C26" s="243"/>
      <c r="D26" s="243"/>
      <c r="E26" s="94" t="s">
        <v>36</v>
      </c>
      <c r="F26" s="80" t="s">
        <v>81</v>
      </c>
      <c r="G26" s="79">
        <f>4.32-G27-G28</f>
        <v>4.32</v>
      </c>
      <c r="H26" s="165">
        <f>4.6-H27-H28</f>
        <v>4.6</v>
      </c>
      <c r="I26" s="76">
        <f t="shared" si="0"/>
        <v>145489</v>
      </c>
    </row>
    <row r="27" spans="1:9" ht="18.75" customHeight="1">
      <c r="A27" s="125"/>
      <c r="B27" s="242" t="s">
        <v>202</v>
      </c>
      <c r="C27" s="242"/>
      <c r="D27" s="242"/>
      <c r="E27" s="98" t="s">
        <v>9</v>
      </c>
      <c r="F27" s="80" t="s">
        <v>81</v>
      </c>
      <c r="G27" s="198">
        <v>0</v>
      </c>
      <c r="H27" s="199">
        <v>0</v>
      </c>
      <c r="I27" s="76">
        <f t="shared" si="0"/>
        <v>0</v>
      </c>
    </row>
    <row r="28" spans="1:9" ht="15.75" customHeight="1">
      <c r="A28" s="125"/>
      <c r="B28" s="242" t="s">
        <v>152</v>
      </c>
      <c r="C28" s="242"/>
      <c r="D28" s="242"/>
      <c r="E28" s="98" t="s">
        <v>9</v>
      </c>
      <c r="F28" s="80" t="s">
        <v>81</v>
      </c>
      <c r="G28" s="198">
        <v>0</v>
      </c>
      <c r="H28" s="199">
        <v>0</v>
      </c>
      <c r="I28" s="76">
        <f t="shared" si="0"/>
        <v>0</v>
      </c>
    </row>
    <row r="29" spans="1:9" ht="36.75" customHeight="1">
      <c r="A29" s="125"/>
      <c r="B29" s="243" t="s">
        <v>21</v>
      </c>
      <c r="C29" s="243"/>
      <c r="D29" s="243"/>
      <c r="E29" s="94" t="s">
        <v>36</v>
      </c>
      <c r="F29" s="80" t="s">
        <v>81</v>
      </c>
      <c r="G29" s="79">
        <v>1.12</v>
      </c>
      <c r="H29" s="166">
        <v>1.19</v>
      </c>
      <c r="I29" s="76">
        <f t="shared" si="0"/>
        <v>37677</v>
      </c>
    </row>
    <row r="30" spans="1:9" ht="15.75" hidden="1">
      <c r="A30" s="22"/>
      <c r="B30" s="230" t="s">
        <v>153</v>
      </c>
      <c r="C30" s="231"/>
      <c r="D30" s="232"/>
      <c r="E30" s="98" t="s">
        <v>9</v>
      </c>
      <c r="F30" s="80"/>
      <c r="G30" s="79"/>
      <c r="H30" s="178"/>
      <c r="I30" s="76">
        <f t="shared" si="0"/>
        <v>0</v>
      </c>
    </row>
    <row r="31" spans="1:9" ht="25.5" hidden="1">
      <c r="A31" s="22"/>
      <c r="B31" s="230" t="s">
        <v>154</v>
      </c>
      <c r="C31" s="231"/>
      <c r="D31" s="232"/>
      <c r="E31" s="94" t="s">
        <v>36</v>
      </c>
      <c r="F31" s="80"/>
      <c r="G31" s="79"/>
      <c r="H31" s="178"/>
      <c r="I31" s="76">
        <f t="shared" si="0"/>
        <v>0</v>
      </c>
    </row>
    <row r="32" spans="1:9" ht="21" customHeight="1" hidden="1">
      <c r="A32" s="125"/>
      <c r="B32" s="233"/>
      <c r="C32" s="234"/>
      <c r="D32" s="235"/>
      <c r="E32" s="94"/>
      <c r="F32" s="80"/>
      <c r="G32" s="79"/>
      <c r="H32" s="178"/>
      <c r="I32" s="76">
        <f t="shared" si="0"/>
        <v>0</v>
      </c>
    </row>
    <row r="33" spans="1:9" ht="15.75">
      <c r="A33" s="125"/>
      <c r="B33" s="187" t="s">
        <v>30</v>
      </c>
      <c r="C33" s="188"/>
      <c r="D33" s="189"/>
      <c r="E33" s="22"/>
      <c r="F33" s="80"/>
      <c r="G33" s="23">
        <f>SUM(G17:G32)</f>
        <v>9.79</v>
      </c>
      <c r="H33" s="23">
        <f>SUM(H17:H32)</f>
        <v>10.429999999999998</v>
      </c>
      <c r="I33" s="76">
        <f t="shared" si="0"/>
        <v>329796</v>
      </c>
    </row>
    <row r="34" spans="1:9" ht="15.75" customHeight="1">
      <c r="A34" s="74" t="s">
        <v>221</v>
      </c>
      <c r="B34" s="239" t="s">
        <v>212</v>
      </c>
      <c r="C34" s="240"/>
      <c r="D34" s="240"/>
      <c r="E34" s="98" t="s">
        <v>233</v>
      </c>
      <c r="F34" s="50" t="s">
        <v>135</v>
      </c>
      <c r="G34" s="23">
        <v>1.12</v>
      </c>
      <c r="H34" s="179">
        <v>1.19</v>
      </c>
      <c r="I34" s="76">
        <f t="shared" si="0"/>
        <v>37677</v>
      </c>
    </row>
    <row r="35" spans="1:9" ht="15.75">
      <c r="A35" s="74" t="s">
        <v>234</v>
      </c>
      <c r="B35" s="264" t="s">
        <v>204</v>
      </c>
      <c r="C35" s="264"/>
      <c r="D35" s="264"/>
      <c r="E35" s="264"/>
      <c r="F35" s="264"/>
      <c r="G35" s="23">
        <f>SUM(G33:G34)</f>
        <v>10.91</v>
      </c>
      <c r="H35" s="23">
        <f>SUM(H33:H34)</f>
        <v>11.619999999999997</v>
      </c>
      <c r="I35" s="76">
        <f t="shared" si="0"/>
        <v>367473</v>
      </c>
    </row>
    <row r="36" spans="1:9" ht="16.5" thickBot="1">
      <c r="A36" s="127" t="s">
        <v>97</v>
      </c>
      <c r="B36" s="258" t="s">
        <v>213</v>
      </c>
      <c r="C36" s="262"/>
      <c r="D36" s="263"/>
      <c r="E36" s="173" t="s">
        <v>233</v>
      </c>
      <c r="F36" s="129" t="s">
        <v>135</v>
      </c>
      <c r="G36" s="146">
        <v>0.8</v>
      </c>
      <c r="H36" s="182">
        <v>0.85</v>
      </c>
      <c r="I36" s="147">
        <f t="shared" si="0"/>
        <v>26912</v>
      </c>
    </row>
    <row r="37" spans="2:8" ht="50.25" customHeight="1">
      <c r="B37" s="267" t="s">
        <v>251</v>
      </c>
      <c r="C37" s="267"/>
      <c r="D37" s="267"/>
      <c r="E37" s="267"/>
      <c r="F37" s="267"/>
      <c r="G37" s="132"/>
      <c r="H37" s="132"/>
    </row>
    <row r="38" spans="2:8" ht="15.75">
      <c r="B38" s="200"/>
      <c r="C38" s="200"/>
      <c r="D38" s="200"/>
      <c r="E38" s="200"/>
      <c r="F38" s="200"/>
      <c r="G38" s="132"/>
      <c r="H38" s="132"/>
    </row>
    <row r="39" spans="1:9" ht="15.75" hidden="1">
      <c r="A39" s="238" t="s">
        <v>216</v>
      </c>
      <c r="B39" s="238"/>
      <c r="C39" s="238"/>
      <c r="D39" s="238"/>
      <c r="E39" s="238"/>
      <c r="F39" s="238"/>
      <c r="G39" s="238"/>
      <c r="H39" s="238"/>
      <c r="I39" s="238"/>
    </row>
    <row r="40" spans="2:5" ht="15.75">
      <c r="B40" s="33" t="s">
        <v>249</v>
      </c>
      <c r="C40" s="33"/>
      <c r="D40" s="33"/>
      <c r="E40" s="33" t="s">
        <v>247</v>
      </c>
    </row>
    <row r="42" spans="2:5" ht="15.75">
      <c r="B42" s="33" t="s">
        <v>250</v>
      </c>
      <c r="C42" s="33"/>
      <c r="D42" s="33"/>
      <c r="E42" t="s">
        <v>248</v>
      </c>
    </row>
  </sheetData>
  <sheetProtection/>
  <mergeCells count="29">
    <mergeCell ref="B7:G7"/>
    <mergeCell ref="E1:I1"/>
    <mergeCell ref="B14:D14"/>
    <mergeCell ref="B37:F37"/>
    <mergeCell ref="B6:G6"/>
    <mergeCell ref="A4:I4"/>
    <mergeCell ref="B29:D29"/>
    <mergeCell ref="B30:D30"/>
    <mergeCell ref="B31:D31"/>
    <mergeCell ref="B32:D32"/>
    <mergeCell ref="B36:D36"/>
    <mergeCell ref="B23:D23"/>
    <mergeCell ref="B24:D24"/>
    <mergeCell ref="B25:D25"/>
    <mergeCell ref="B26:D26"/>
    <mergeCell ref="B34:D34"/>
    <mergeCell ref="B33:D33"/>
    <mergeCell ref="B28:D28"/>
    <mergeCell ref="B35:F35"/>
    <mergeCell ref="A39:I39"/>
    <mergeCell ref="B13:D13"/>
    <mergeCell ref="B15:F15"/>
    <mergeCell ref="B17:D17"/>
    <mergeCell ref="B18:D18"/>
    <mergeCell ref="B19:D19"/>
    <mergeCell ref="B20:D20"/>
    <mergeCell ref="B21:D21"/>
    <mergeCell ref="B22:D22"/>
    <mergeCell ref="B27:D27"/>
  </mergeCells>
  <printOptions horizontalCentered="1"/>
  <pageMargins left="0.11811023622047245" right="0.11811023622047245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0">
      <selection activeCell="B34" sqref="B34:E34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201" t="s">
        <v>238</v>
      </c>
      <c r="B1" s="201"/>
      <c r="C1" s="201"/>
      <c r="D1" s="201"/>
      <c r="E1" s="201"/>
      <c r="F1" s="201"/>
      <c r="G1" s="201"/>
      <c r="H1" s="201"/>
      <c r="I1" s="201"/>
    </row>
    <row r="2" spans="1:9" ht="20.25">
      <c r="A2" s="141"/>
      <c r="B2" s="141"/>
      <c r="C2" s="141"/>
      <c r="D2" s="141"/>
      <c r="E2" s="141"/>
      <c r="F2" s="141"/>
      <c r="G2" s="141"/>
      <c r="H2" s="141"/>
      <c r="I2" s="141"/>
    </row>
    <row r="3" spans="1:9" ht="20.25">
      <c r="A3" s="141"/>
      <c r="B3" s="141"/>
      <c r="C3" s="141"/>
      <c r="D3" s="141"/>
      <c r="E3" s="141"/>
      <c r="F3" s="141"/>
      <c r="G3" s="141"/>
      <c r="H3" s="141"/>
      <c r="I3" s="141"/>
    </row>
    <row r="4" spans="1:6" ht="47.25">
      <c r="A4" s="1" t="s">
        <v>82</v>
      </c>
      <c r="B4" s="1" t="s">
        <v>85</v>
      </c>
      <c r="C4" s="2"/>
      <c r="D4" s="153" t="s">
        <v>222</v>
      </c>
      <c r="E4" s="26">
        <v>2718.4</v>
      </c>
      <c r="F4" s="2"/>
    </row>
    <row r="5" spans="2:6" ht="15.75">
      <c r="B5" s="3" t="s">
        <v>1</v>
      </c>
      <c r="C5" s="35">
        <v>5</v>
      </c>
      <c r="D5" s="2" t="s">
        <v>2</v>
      </c>
      <c r="E5" s="27">
        <v>60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72" t="s">
        <v>61</v>
      </c>
      <c r="B8" s="251" t="s">
        <v>136</v>
      </c>
      <c r="C8" s="252"/>
      <c r="D8" s="253"/>
      <c r="E8" s="73" t="s">
        <v>6</v>
      </c>
      <c r="F8" s="73" t="s">
        <v>7</v>
      </c>
      <c r="G8" s="122" t="s">
        <v>223</v>
      </c>
      <c r="H8" s="122" t="s">
        <v>224</v>
      </c>
      <c r="I8" s="123" t="s">
        <v>225</v>
      </c>
    </row>
    <row r="9" spans="1:9" ht="38.25">
      <c r="A9" s="154">
        <v>1</v>
      </c>
      <c r="B9" s="187">
        <v>2</v>
      </c>
      <c r="C9" s="188"/>
      <c r="D9" s="286"/>
      <c r="E9" s="155">
        <v>3</v>
      </c>
      <c r="F9" s="155">
        <v>3</v>
      </c>
      <c r="G9" s="155">
        <v>4</v>
      </c>
      <c r="H9" s="155">
        <v>5</v>
      </c>
      <c r="I9" s="150" t="s">
        <v>226</v>
      </c>
    </row>
    <row r="10" spans="1:9" ht="15.75" customHeight="1">
      <c r="A10" s="74">
        <v>1</v>
      </c>
      <c r="B10" s="254" t="s">
        <v>131</v>
      </c>
      <c r="C10" s="254"/>
      <c r="D10" s="254"/>
      <c r="E10" s="254"/>
      <c r="F10" s="254"/>
      <c r="G10" s="75"/>
      <c r="H10" s="156"/>
      <c r="I10" s="124"/>
    </row>
    <row r="11" spans="1:9" ht="15.75" customHeight="1">
      <c r="A11" s="74"/>
      <c r="B11" s="219" t="s">
        <v>199</v>
      </c>
      <c r="C11" s="219"/>
      <c r="D11" s="219"/>
      <c r="E11" s="219"/>
      <c r="F11" s="219"/>
      <c r="G11" s="23">
        <f>G32</f>
        <v>10.91</v>
      </c>
      <c r="H11" s="23">
        <f>H32</f>
        <v>11.619999999999997</v>
      </c>
      <c r="I11" s="76">
        <f>ROUND($E$4*G11*6,0)+ROUND($E$4*H11*6,0)</f>
        <v>367473</v>
      </c>
    </row>
    <row r="12" spans="1:9" ht="15.75" customHeight="1">
      <c r="A12" s="74"/>
      <c r="B12" s="244" t="s">
        <v>132</v>
      </c>
      <c r="C12" s="244"/>
      <c r="D12" s="244"/>
      <c r="E12" s="244"/>
      <c r="F12" s="244"/>
      <c r="G12" s="23">
        <f>G33</f>
        <v>0.8</v>
      </c>
      <c r="H12" s="23">
        <f>H33</f>
        <v>0.85</v>
      </c>
      <c r="I12" s="76">
        <f>ROUND($E$4*G12*6,0)+ROUND($E$4*H12*6,0)</f>
        <v>26912</v>
      </c>
    </row>
    <row r="13" spans="1:9" ht="15.75" customHeight="1">
      <c r="A13" s="74">
        <v>2</v>
      </c>
      <c r="B13" s="282" t="s">
        <v>74</v>
      </c>
      <c r="C13" s="283"/>
      <c r="D13" s="283"/>
      <c r="E13" s="283"/>
      <c r="F13" s="284"/>
      <c r="G13" s="157"/>
      <c r="H13" s="158"/>
      <c r="I13" s="76"/>
    </row>
    <row r="14" spans="1:9" ht="18.75" customHeight="1">
      <c r="A14" s="74" t="s">
        <v>220</v>
      </c>
      <c r="B14" s="159" t="s">
        <v>75</v>
      </c>
      <c r="C14" s="159"/>
      <c r="D14" s="159"/>
      <c r="E14" s="159"/>
      <c r="F14" s="160"/>
      <c r="G14" s="161"/>
      <c r="H14" s="162"/>
      <c r="I14" s="76"/>
    </row>
    <row r="15" spans="1:9" ht="29.25" customHeight="1">
      <c r="A15" s="125"/>
      <c r="B15" s="260" t="s">
        <v>227</v>
      </c>
      <c r="C15" s="277"/>
      <c r="D15" s="277"/>
      <c r="E15" s="163" t="s">
        <v>32</v>
      </c>
      <c r="F15" s="164" t="s">
        <v>24</v>
      </c>
      <c r="G15" s="79">
        <v>1.12</v>
      </c>
      <c r="H15" s="166">
        <v>1.19</v>
      </c>
      <c r="I15" s="76">
        <f>ROUND($E$4*G15*6,0)+ROUND($E$4*H15*6,0)</f>
        <v>37677</v>
      </c>
    </row>
    <row r="16" spans="1:10" ht="15.75" customHeight="1">
      <c r="A16" s="125"/>
      <c r="B16" s="277" t="s">
        <v>17</v>
      </c>
      <c r="C16" s="277"/>
      <c r="D16" s="277"/>
      <c r="E16" s="163" t="s">
        <v>32</v>
      </c>
      <c r="F16" s="164" t="s">
        <v>19</v>
      </c>
      <c r="G16" s="79">
        <v>0.3</v>
      </c>
      <c r="H16" s="166">
        <v>0.32</v>
      </c>
      <c r="I16" s="76">
        <f aca="true" t="shared" si="0" ref="I16:I33">ROUND($E$4*G16*6,0)+ROUND($E$4*H16*6,0)</f>
        <v>10112</v>
      </c>
      <c r="J16" s="121"/>
    </row>
    <row r="17" spans="1:9" ht="18.75" customHeight="1">
      <c r="A17" s="125"/>
      <c r="B17" s="269" t="s">
        <v>228</v>
      </c>
      <c r="C17" s="269"/>
      <c r="D17" s="269"/>
      <c r="E17" s="167" t="s">
        <v>148</v>
      </c>
      <c r="F17" s="168" t="s">
        <v>20</v>
      </c>
      <c r="G17" s="79">
        <v>0.11</v>
      </c>
      <c r="H17" s="166">
        <v>0.12</v>
      </c>
      <c r="I17" s="76">
        <f t="shared" si="0"/>
        <v>3751</v>
      </c>
    </row>
    <row r="18" spans="1:9" ht="15.75" customHeight="1">
      <c r="A18" s="125"/>
      <c r="B18" s="285" t="s">
        <v>31</v>
      </c>
      <c r="C18" s="285"/>
      <c r="D18" s="285"/>
      <c r="E18" s="169" t="s">
        <v>9</v>
      </c>
      <c r="F18" s="170" t="s">
        <v>10</v>
      </c>
      <c r="G18" s="79">
        <v>0.54</v>
      </c>
      <c r="H18" s="166">
        <v>0.58</v>
      </c>
      <c r="I18" s="76">
        <f t="shared" si="0"/>
        <v>18268</v>
      </c>
    </row>
    <row r="19" spans="1:9" ht="51" customHeight="1">
      <c r="A19" s="125"/>
      <c r="B19" s="269" t="s">
        <v>27</v>
      </c>
      <c r="C19" s="269"/>
      <c r="D19" s="269"/>
      <c r="E19" s="167" t="s">
        <v>149</v>
      </c>
      <c r="F19" s="168" t="s">
        <v>25</v>
      </c>
      <c r="G19" s="79">
        <v>0.13</v>
      </c>
      <c r="H19" s="166">
        <v>0.14</v>
      </c>
      <c r="I19" s="76">
        <f t="shared" si="0"/>
        <v>4403</v>
      </c>
    </row>
    <row r="20" spans="1:9" ht="37.5" customHeight="1">
      <c r="A20" s="125"/>
      <c r="B20" s="269" t="s">
        <v>11</v>
      </c>
      <c r="C20" s="269"/>
      <c r="D20" s="269"/>
      <c r="E20" s="167" t="s">
        <v>9</v>
      </c>
      <c r="F20" s="168" t="s">
        <v>12</v>
      </c>
      <c r="G20" s="79">
        <v>0</v>
      </c>
      <c r="H20" s="166">
        <v>0</v>
      </c>
      <c r="I20" s="76">
        <f t="shared" si="0"/>
        <v>0</v>
      </c>
    </row>
    <row r="21" spans="1:9" ht="21" customHeight="1">
      <c r="A21" s="125"/>
      <c r="B21" s="269" t="s">
        <v>26</v>
      </c>
      <c r="C21" s="270"/>
      <c r="D21" s="270"/>
      <c r="E21" s="171" t="s">
        <v>13</v>
      </c>
      <c r="F21" s="157" t="s">
        <v>201</v>
      </c>
      <c r="G21" s="79">
        <v>0.05</v>
      </c>
      <c r="H21" s="166">
        <v>0.05</v>
      </c>
      <c r="I21" s="76">
        <f t="shared" si="0"/>
        <v>1632</v>
      </c>
    </row>
    <row r="22" spans="1:9" ht="51">
      <c r="A22" s="125"/>
      <c r="B22" s="269" t="s">
        <v>150</v>
      </c>
      <c r="C22" s="269"/>
      <c r="D22" s="269"/>
      <c r="E22" s="163" t="s">
        <v>229</v>
      </c>
      <c r="F22" s="168" t="s">
        <v>81</v>
      </c>
      <c r="G22" s="79">
        <v>1.63</v>
      </c>
      <c r="H22" s="166">
        <v>1.74</v>
      </c>
      <c r="I22" s="76">
        <f t="shared" si="0"/>
        <v>54966</v>
      </c>
    </row>
    <row r="23" spans="1:9" ht="55.5" customHeight="1">
      <c r="A23" s="125"/>
      <c r="B23" s="277" t="s">
        <v>15</v>
      </c>
      <c r="C23" s="277"/>
      <c r="D23" s="277"/>
      <c r="E23" s="163" t="s">
        <v>134</v>
      </c>
      <c r="F23" s="168" t="s">
        <v>81</v>
      </c>
      <c r="G23" s="79">
        <v>0.47</v>
      </c>
      <c r="H23" s="166">
        <v>0.5</v>
      </c>
      <c r="I23" s="76">
        <f t="shared" si="0"/>
        <v>15821</v>
      </c>
    </row>
    <row r="24" spans="1:9" ht="28.5" customHeight="1">
      <c r="A24" s="125"/>
      <c r="B24" s="269" t="s">
        <v>230</v>
      </c>
      <c r="C24" s="270"/>
      <c r="D24" s="270"/>
      <c r="E24" s="163" t="s">
        <v>36</v>
      </c>
      <c r="F24" s="168" t="s">
        <v>81</v>
      </c>
      <c r="G24" s="79">
        <f>4.32-G25-G26</f>
        <v>4.32</v>
      </c>
      <c r="H24" s="165">
        <f>4.6-H25-H26</f>
        <v>4.6</v>
      </c>
      <c r="I24" s="76">
        <f t="shared" si="0"/>
        <v>145489</v>
      </c>
    </row>
    <row r="25" spans="1:9" ht="15.75" customHeight="1">
      <c r="A25" s="125"/>
      <c r="B25" s="269" t="s">
        <v>202</v>
      </c>
      <c r="C25" s="269"/>
      <c r="D25" s="269"/>
      <c r="E25" s="167" t="s">
        <v>9</v>
      </c>
      <c r="F25" s="168" t="s">
        <v>81</v>
      </c>
      <c r="G25" s="79">
        <v>0</v>
      </c>
      <c r="H25" s="166">
        <v>0</v>
      </c>
      <c r="I25" s="76">
        <f t="shared" si="0"/>
        <v>0</v>
      </c>
    </row>
    <row r="26" spans="1:9" ht="21.75" customHeight="1">
      <c r="A26" s="125"/>
      <c r="B26" s="269" t="s">
        <v>152</v>
      </c>
      <c r="C26" s="269"/>
      <c r="D26" s="269"/>
      <c r="E26" s="167" t="s">
        <v>9</v>
      </c>
      <c r="F26" s="168" t="s">
        <v>81</v>
      </c>
      <c r="G26" s="79">
        <v>0</v>
      </c>
      <c r="H26" s="166">
        <v>0</v>
      </c>
      <c r="I26" s="76">
        <f t="shared" si="0"/>
        <v>0</v>
      </c>
    </row>
    <row r="27" spans="1:9" ht="25.5">
      <c r="A27" s="125"/>
      <c r="B27" s="270" t="s">
        <v>231</v>
      </c>
      <c r="C27" s="270"/>
      <c r="D27" s="270"/>
      <c r="E27" s="163" t="s">
        <v>36</v>
      </c>
      <c r="F27" s="168" t="s">
        <v>81</v>
      </c>
      <c r="G27" s="79">
        <v>1.12</v>
      </c>
      <c r="H27" s="166">
        <v>1.19</v>
      </c>
      <c r="I27" s="76">
        <f t="shared" si="0"/>
        <v>37677</v>
      </c>
    </row>
    <row r="28" spans="1:9" ht="15.75" hidden="1">
      <c r="A28" s="22"/>
      <c r="B28" s="271" t="s">
        <v>153</v>
      </c>
      <c r="C28" s="272"/>
      <c r="D28" s="273"/>
      <c r="E28" s="167" t="s">
        <v>9</v>
      </c>
      <c r="F28" s="168"/>
      <c r="G28" s="79"/>
      <c r="H28" s="166"/>
      <c r="I28" s="76">
        <f t="shared" si="0"/>
        <v>0</v>
      </c>
    </row>
    <row r="29" spans="1:9" ht="25.5" hidden="1">
      <c r="A29" s="22"/>
      <c r="B29" s="271" t="s">
        <v>154</v>
      </c>
      <c r="C29" s="272"/>
      <c r="D29" s="273"/>
      <c r="E29" s="163" t="s">
        <v>36</v>
      </c>
      <c r="F29" s="168"/>
      <c r="G29" s="79"/>
      <c r="H29" s="166"/>
      <c r="I29" s="76">
        <f t="shared" si="0"/>
        <v>0</v>
      </c>
    </row>
    <row r="30" spans="1:9" ht="15.75" customHeight="1">
      <c r="A30" s="125"/>
      <c r="B30" s="274" t="s">
        <v>30</v>
      </c>
      <c r="C30" s="275"/>
      <c r="D30" s="276"/>
      <c r="E30" s="172"/>
      <c r="F30" s="168"/>
      <c r="G30" s="23">
        <f>SUM(G14:G29)</f>
        <v>9.79</v>
      </c>
      <c r="H30" s="135">
        <f>SUM(H15:H29)</f>
        <v>10.429999999999998</v>
      </c>
      <c r="I30" s="76">
        <f t="shared" si="0"/>
        <v>329796</v>
      </c>
    </row>
    <row r="31" spans="1:9" ht="21" customHeight="1">
      <c r="A31" s="74" t="s">
        <v>221</v>
      </c>
      <c r="B31" s="239" t="s">
        <v>232</v>
      </c>
      <c r="C31" s="240"/>
      <c r="D31" s="240"/>
      <c r="E31" s="98" t="s">
        <v>233</v>
      </c>
      <c r="F31" s="50" t="s">
        <v>135</v>
      </c>
      <c r="G31" s="23">
        <v>1.12</v>
      </c>
      <c r="H31" s="23">
        <v>1.19</v>
      </c>
      <c r="I31" s="76">
        <f t="shared" si="0"/>
        <v>37677</v>
      </c>
    </row>
    <row r="32" spans="1:9" ht="15.75" customHeight="1">
      <c r="A32" s="74" t="s">
        <v>234</v>
      </c>
      <c r="B32" s="278" t="s">
        <v>204</v>
      </c>
      <c r="C32" s="278"/>
      <c r="D32" s="278"/>
      <c r="E32" s="278"/>
      <c r="F32" s="278"/>
      <c r="G32" s="23">
        <f>SUM(G30:G31)</f>
        <v>10.91</v>
      </c>
      <c r="H32" s="135">
        <f>SUM(H30:H31)</f>
        <v>11.619999999999997</v>
      </c>
      <c r="I32" s="76">
        <f t="shared" si="0"/>
        <v>367473</v>
      </c>
    </row>
    <row r="33" spans="1:9" ht="24" customHeight="1" thickBot="1">
      <c r="A33" s="127" t="s">
        <v>97</v>
      </c>
      <c r="B33" s="279" t="s">
        <v>235</v>
      </c>
      <c r="C33" s="280"/>
      <c r="D33" s="281"/>
      <c r="E33" s="173" t="s">
        <v>233</v>
      </c>
      <c r="F33" s="174" t="s">
        <v>135</v>
      </c>
      <c r="G33" s="146">
        <v>0.8</v>
      </c>
      <c r="H33" s="175">
        <v>0.85</v>
      </c>
      <c r="I33" s="147">
        <f t="shared" si="0"/>
        <v>26912</v>
      </c>
    </row>
    <row r="34" spans="2:9" ht="59.25" customHeight="1">
      <c r="B34" s="268" t="s">
        <v>236</v>
      </c>
      <c r="C34" s="268"/>
      <c r="D34" s="268"/>
      <c r="E34" s="268"/>
      <c r="G34" s="177"/>
      <c r="H34" s="131"/>
      <c r="I34" s="132"/>
    </row>
    <row r="35" spans="2:9" ht="24.75" customHeight="1">
      <c r="B35" s="176"/>
      <c r="C35" s="176"/>
      <c r="D35" s="176"/>
      <c r="E35" s="176"/>
      <c r="G35" s="131"/>
      <c r="H35" s="131"/>
      <c r="I35" s="132"/>
    </row>
    <row r="36" spans="1:9" ht="15.75" customHeight="1">
      <c r="A36" s="70" t="s">
        <v>237</v>
      </c>
      <c r="B36" s="70"/>
      <c r="C36" s="70"/>
      <c r="D36" s="33"/>
      <c r="G36" s="131"/>
      <c r="H36" s="131"/>
      <c r="I36" s="132"/>
    </row>
  </sheetData>
  <sheetProtection/>
  <mergeCells count="27">
    <mergeCell ref="B11:F11"/>
    <mergeCell ref="B12:F12"/>
    <mergeCell ref="A1:I1"/>
    <mergeCell ref="B8:D8"/>
    <mergeCell ref="B9:D9"/>
    <mergeCell ref="B10:F10"/>
    <mergeCell ref="B18:D18"/>
    <mergeCell ref="B19:D19"/>
    <mergeCell ref="B20:D20"/>
    <mergeCell ref="B21:D21"/>
    <mergeCell ref="B13:F13"/>
    <mergeCell ref="B15:D15"/>
    <mergeCell ref="B16:D16"/>
    <mergeCell ref="B17:D17"/>
    <mergeCell ref="B22:D22"/>
    <mergeCell ref="B23:D23"/>
    <mergeCell ref="B32:F32"/>
    <mergeCell ref="B33:D33"/>
    <mergeCell ref="B24:D24"/>
    <mergeCell ref="B25:D25"/>
    <mergeCell ref="B34:E34"/>
    <mergeCell ref="B26:D26"/>
    <mergeCell ref="B27:D27"/>
    <mergeCell ref="B28:D28"/>
    <mergeCell ref="B29:D29"/>
    <mergeCell ref="B30:D30"/>
    <mergeCell ref="B31:D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29" sqref="I29"/>
    </sheetView>
  </sheetViews>
  <sheetFormatPr defaultColWidth="9.00390625" defaultRowHeight="15.75"/>
  <cols>
    <col min="1" max="1" width="4.875" style="0" customWidth="1"/>
    <col min="2" max="2" width="25.125" style="0" customWidth="1"/>
    <col min="3" max="3" width="3.75390625" style="0" customWidth="1"/>
    <col min="4" max="4" width="21.75390625" style="0" customWidth="1"/>
    <col min="5" max="5" width="17.75390625" style="0" customWidth="1"/>
    <col min="6" max="6" width="0.12890625" style="0" hidden="1" customWidth="1"/>
    <col min="7" max="7" width="6.75390625" style="0" bestFit="1" customWidth="1"/>
    <col min="8" max="8" width="6.75390625" style="0" customWidth="1"/>
    <col min="9" max="9" width="13.25390625" style="0" bestFit="1" customWidth="1"/>
    <col min="10" max="10" width="11.75390625" style="0" bestFit="1" customWidth="1"/>
    <col min="11" max="11" width="13.25390625" style="0" bestFit="1" customWidth="1"/>
  </cols>
  <sheetData>
    <row r="1" spans="1:11" ht="110.25" customHeight="1">
      <c r="A1" s="201" t="s">
        <v>207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63.75" customHeight="1">
      <c r="A2" s="186" t="s">
        <v>208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6" ht="18.75">
      <c r="A3" s="1" t="s">
        <v>82</v>
      </c>
      <c r="B3" s="1" t="s">
        <v>85</v>
      </c>
      <c r="C3" s="2"/>
      <c r="D3" s="2" t="s">
        <v>0</v>
      </c>
      <c r="E3" s="26">
        <v>2716.2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8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/>
    </row>
    <row r="6" spans="2:8" ht="15.75">
      <c r="B6" s="3"/>
      <c r="C6" s="4"/>
      <c r="D6" s="2" t="s">
        <v>5</v>
      </c>
      <c r="E6" s="2" t="s">
        <v>16</v>
      </c>
      <c r="F6" s="2"/>
      <c r="G6" s="2"/>
      <c r="H6" s="2"/>
    </row>
    <row r="7" spans="1:11" ht="39" customHeight="1">
      <c r="A7" s="21" t="s">
        <v>61</v>
      </c>
      <c r="B7" s="187" t="s">
        <v>136</v>
      </c>
      <c r="C7" s="188"/>
      <c r="D7" s="189"/>
      <c r="E7" s="11" t="s">
        <v>6</v>
      </c>
      <c r="F7" s="11" t="s">
        <v>7</v>
      </c>
      <c r="G7" s="84" t="s">
        <v>22</v>
      </c>
      <c r="H7" s="134"/>
      <c r="I7" s="180" t="s">
        <v>137</v>
      </c>
      <c r="J7" s="224"/>
      <c r="K7" s="225"/>
    </row>
    <row r="8" spans="1:11" ht="15.75">
      <c r="A8" s="22">
        <v>1</v>
      </c>
      <c r="B8" s="216"/>
      <c r="C8" s="217"/>
      <c r="D8" s="217"/>
      <c r="E8" s="217"/>
      <c r="F8" s="218"/>
      <c r="G8" s="85"/>
      <c r="H8" s="85"/>
      <c r="I8" s="86" t="s">
        <v>138</v>
      </c>
      <c r="J8" s="87" t="s">
        <v>139</v>
      </c>
      <c r="K8" s="87" t="s">
        <v>140</v>
      </c>
    </row>
    <row r="9" spans="1:11" ht="15.75">
      <c r="A9" s="22"/>
      <c r="B9" s="216" t="s">
        <v>141</v>
      </c>
      <c r="C9" s="217"/>
      <c r="D9" s="217"/>
      <c r="E9" s="217"/>
      <c r="F9" s="218"/>
      <c r="G9" s="88"/>
      <c r="H9" s="88"/>
      <c r="I9" s="88"/>
      <c r="J9" s="57"/>
      <c r="K9" s="87"/>
    </row>
    <row r="10" spans="1:11" ht="15.75">
      <c r="A10" s="89"/>
      <c r="B10" s="215" t="s">
        <v>142</v>
      </c>
      <c r="C10" s="215"/>
      <c r="D10" s="215"/>
      <c r="E10" s="215"/>
      <c r="F10" s="215"/>
      <c r="G10" s="15">
        <v>10.58</v>
      </c>
      <c r="H10" s="15">
        <v>11.21</v>
      </c>
      <c r="I10" s="136">
        <f>ROUND(G10*$E$3*6,2)+ROUND(H10*$E$3*4,2)</f>
        <v>294218.79000000004</v>
      </c>
      <c r="J10" s="75"/>
      <c r="K10" s="91">
        <f>I10+J10</f>
        <v>294218.79000000004</v>
      </c>
    </row>
    <row r="11" spans="1:11" ht="15.75">
      <c r="A11" s="89"/>
      <c r="B11" s="215" t="s">
        <v>143</v>
      </c>
      <c r="C11" s="215"/>
      <c r="D11" s="215"/>
      <c r="E11" s="215"/>
      <c r="F11" s="215"/>
      <c r="G11" s="15">
        <v>0.76</v>
      </c>
      <c r="H11" s="15">
        <v>0.8</v>
      </c>
      <c r="I11" s="136">
        <f>ROUND(G11*$E$3*6,2)+ROUND(H11*$E$3*4,2)</f>
        <v>21077.71</v>
      </c>
      <c r="J11" s="75"/>
      <c r="K11" s="91">
        <f>I11+J11</f>
        <v>21077.71</v>
      </c>
    </row>
    <row r="12" spans="1:11" ht="15.75">
      <c r="A12" s="22"/>
      <c r="B12" s="215" t="s">
        <v>144</v>
      </c>
      <c r="C12" s="215"/>
      <c r="D12" s="215"/>
      <c r="E12" s="215"/>
      <c r="F12" s="215"/>
      <c r="G12" s="15"/>
      <c r="H12" s="15"/>
      <c r="I12" s="90"/>
      <c r="J12" s="75">
        <v>0</v>
      </c>
      <c r="K12" s="91">
        <f>I12+J12</f>
        <v>0</v>
      </c>
    </row>
    <row r="13" spans="1:11" ht="15.75">
      <c r="A13" s="22"/>
      <c r="B13" s="215" t="s">
        <v>145</v>
      </c>
      <c r="C13" s="215"/>
      <c r="D13" s="215"/>
      <c r="E13" s="215"/>
      <c r="F13" s="215"/>
      <c r="G13" s="15"/>
      <c r="H13" s="15"/>
      <c r="I13" s="90">
        <v>0</v>
      </c>
      <c r="J13" s="92">
        <v>0</v>
      </c>
      <c r="K13" s="91">
        <f>I13+J13</f>
        <v>0</v>
      </c>
    </row>
    <row r="14" spans="1:11" ht="15.75">
      <c r="A14" s="22"/>
      <c r="B14" s="219" t="s">
        <v>146</v>
      </c>
      <c r="C14" s="219"/>
      <c r="D14" s="219"/>
      <c r="E14" s="219"/>
      <c r="F14" s="219"/>
      <c r="G14" s="15"/>
      <c r="H14" s="15"/>
      <c r="I14" s="111">
        <f>SUM(I10:I13)</f>
        <v>315296.50000000006</v>
      </c>
      <c r="J14" s="111">
        <f>SUM(J10:J13)</f>
        <v>0</v>
      </c>
      <c r="K14" s="111">
        <f>SUM(K10:K13)</f>
        <v>315296.50000000006</v>
      </c>
    </row>
    <row r="15" spans="1:11" ht="18.75">
      <c r="A15" s="22">
        <v>2</v>
      </c>
      <c r="B15" s="192" t="s">
        <v>74</v>
      </c>
      <c r="C15" s="192"/>
      <c r="D15" s="192"/>
      <c r="E15" s="192"/>
      <c r="F15" s="192"/>
      <c r="G15" s="15"/>
      <c r="H15" s="15"/>
      <c r="I15" s="90"/>
      <c r="J15" s="75"/>
      <c r="K15" s="34"/>
    </row>
    <row r="16" spans="1:11" ht="15.75">
      <c r="A16" s="22" t="s">
        <v>147</v>
      </c>
      <c r="B16" s="18" t="s">
        <v>75</v>
      </c>
      <c r="C16" s="18"/>
      <c r="D16" s="18"/>
      <c r="E16" s="18"/>
      <c r="F16" s="5"/>
      <c r="G16" s="86"/>
      <c r="H16" s="86"/>
      <c r="I16" s="86"/>
      <c r="J16" s="83"/>
      <c r="K16" s="87"/>
    </row>
    <row r="17" spans="1:11" ht="33" customHeight="1">
      <c r="A17" s="93"/>
      <c r="B17" s="228" t="s">
        <v>133</v>
      </c>
      <c r="C17" s="228"/>
      <c r="D17" s="228"/>
      <c r="E17" s="94" t="s">
        <v>32</v>
      </c>
      <c r="F17" s="78" t="s">
        <v>24</v>
      </c>
      <c r="G17" s="79">
        <v>1.06</v>
      </c>
      <c r="H17" s="79">
        <v>1.12</v>
      </c>
      <c r="I17" s="136">
        <f>ROUND(G17*$E$3*6,2)+ROUND(H17*$E$3*4,2)</f>
        <v>29443.61</v>
      </c>
      <c r="J17" s="96">
        <f>$J$12*0.08</f>
        <v>0</v>
      </c>
      <c r="K17" s="97">
        <f>SUM(I17:J17)</f>
        <v>29443.61</v>
      </c>
    </row>
    <row r="18" spans="1:11" ht="17.25" customHeight="1">
      <c r="A18" s="22"/>
      <c r="B18" s="229" t="s">
        <v>17</v>
      </c>
      <c r="C18" s="229"/>
      <c r="D18" s="229"/>
      <c r="E18" s="94" t="s">
        <v>32</v>
      </c>
      <c r="F18" s="78" t="s">
        <v>19</v>
      </c>
      <c r="G18" s="79">
        <v>0.28</v>
      </c>
      <c r="H18" s="79">
        <v>0.3</v>
      </c>
      <c r="I18" s="136">
        <f>ROUND(G18*$E$3*6,2)+ROUND(H18*$E$3*4,2)</f>
        <v>7822.66</v>
      </c>
      <c r="J18" s="96">
        <f>$J$12*0.02</f>
        <v>0</v>
      </c>
      <c r="K18" s="97">
        <f>SUM(I18:J18)</f>
        <v>7822.66</v>
      </c>
    </row>
    <row r="19" spans="1:11" ht="20.25" customHeight="1">
      <c r="A19" s="22"/>
      <c r="B19" s="226" t="s">
        <v>23</v>
      </c>
      <c r="C19" s="226"/>
      <c r="D19" s="226"/>
      <c r="E19" s="98" t="s">
        <v>148</v>
      </c>
      <c r="F19" s="80" t="s">
        <v>20</v>
      </c>
      <c r="G19" s="79">
        <v>0.39</v>
      </c>
      <c r="H19" s="79">
        <v>0.41</v>
      </c>
      <c r="I19" s="95">
        <f>K19-J19</f>
        <v>13207.19</v>
      </c>
      <c r="J19" s="96">
        <f>$J$12*0.07</f>
        <v>0</v>
      </c>
      <c r="K19" s="99">
        <v>13207.19</v>
      </c>
    </row>
    <row r="20" spans="1:11" ht="20.25" customHeight="1">
      <c r="A20" s="93"/>
      <c r="B20" s="228" t="s">
        <v>31</v>
      </c>
      <c r="C20" s="228"/>
      <c r="D20" s="228"/>
      <c r="E20" s="100" t="s">
        <v>9</v>
      </c>
      <c r="F20" s="81" t="s">
        <v>10</v>
      </c>
      <c r="G20" s="79">
        <v>0.51</v>
      </c>
      <c r="H20" s="79">
        <v>0.54</v>
      </c>
      <c r="I20" s="136">
        <f>ROUND(G20*$E$3*6,2)+ROUND(H20*$E$3*4,2)</f>
        <v>14178.56</v>
      </c>
      <c r="J20" s="96">
        <f>$J$12*0.04</f>
        <v>0</v>
      </c>
      <c r="K20" s="97">
        <f>SUM(I20:J20)</f>
        <v>14178.56</v>
      </c>
    </row>
    <row r="21" spans="1:11" ht="60.75" customHeight="1">
      <c r="A21" s="22"/>
      <c r="B21" s="226" t="s">
        <v>27</v>
      </c>
      <c r="C21" s="226"/>
      <c r="D21" s="226"/>
      <c r="E21" s="98" t="s">
        <v>149</v>
      </c>
      <c r="F21" s="80" t="s">
        <v>25</v>
      </c>
      <c r="G21" s="79">
        <v>0.12</v>
      </c>
      <c r="H21" s="79">
        <v>0.13</v>
      </c>
      <c r="I21" s="95">
        <f>K21-J21</f>
        <v>4094.37</v>
      </c>
      <c r="J21" s="96">
        <f>$J$12*0.01</f>
        <v>0</v>
      </c>
      <c r="K21" s="99">
        <v>4094.37</v>
      </c>
    </row>
    <row r="22" spans="1:11" ht="20.25" customHeight="1">
      <c r="A22" s="93"/>
      <c r="B22" s="226" t="s">
        <v>11</v>
      </c>
      <c r="C22" s="226"/>
      <c r="D22" s="226"/>
      <c r="E22" s="98" t="s">
        <v>9</v>
      </c>
      <c r="F22" s="80" t="s">
        <v>12</v>
      </c>
      <c r="G22" s="79">
        <v>0</v>
      </c>
      <c r="H22" s="79">
        <v>0</v>
      </c>
      <c r="I22" s="95">
        <f>K22-J22</f>
        <v>0</v>
      </c>
      <c r="J22" s="96">
        <f>$J$12*0.15</f>
        <v>0</v>
      </c>
      <c r="K22" s="99">
        <f>G22*E3*12</f>
        <v>0</v>
      </c>
    </row>
    <row r="23" spans="1:11" ht="20.25" customHeight="1">
      <c r="A23" s="93"/>
      <c r="B23" s="226" t="s">
        <v>26</v>
      </c>
      <c r="C23" s="227"/>
      <c r="D23" s="227"/>
      <c r="E23" s="101" t="s">
        <v>13</v>
      </c>
      <c r="F23" s="77" t="s">
        <v>14</v>
      </c>
      <c r="G23" s="79">
        <v>0.05</v>
      </c>
      <c r="H23" s="79">
        <v>0.05</v>
      </c>
      <c r="I23" s="95">
        <f>K23-J23</f>
        <v>3911.73</v>
      </c>
      <c r="J23" s="96">
        <f>$J$12*0.003</f>
        <v>0</v>
      </c>
      <c r="K23" s="99">
        <v>3911.73</v>
      </c>
    </row>
    <row r="24" spans="1:11" ht="28.5" customHeight="1">
      <c r="A24" s="22"/>
      <c r="B24" s="226" t="s">
        <v>150</v>
      </c>
      <c r="C24" s="226"/>
      <c r="D24" s="226"/>
      <c r="E24" s="94" t="s">
        <v>36</v>
      </c>
      <c r="F24" s="39" t="s">
        <v>81</v>
      </c>
      <c r="G24" s="79">
        <v>2.15</v>
      </c>
      <c r="H24" s="79">
        <v>2.28</v>
      </c>
      <c r="I24" s="136">
        <f aca="true" t="shared" si="0" ref="I24:I30">ROUND(G24*$E$3*6,2)+ROUND(H24*$E$3*4,2)</f>
        <v>59810.72</v>
      </c>
      <c r="J24" s="96">
        <f>$J$12*0.19</f>
        <v>0</v>
      </c>
      <c r="K24" s="97">
        <f aca="true" t="shared" si="1" ref="K24:K29">SUM(I24:J24)</f>
        <v>59810.72</v>
      </c>
    </row>
    <row r="25" spans="1:11" ht="26.25" customHeight="1">
      <c r="A25" s="22"/>
      <c r="B25" s="229" t="s">
        <v>15</v>
      </c>
      <c r="C25" s="229"/>
      <c r="D25" s="229"/>
      <c r="E25" s="94" t="s">
        <v>36</v>
      </c>
      <c r="F25" s="39" t="s">
        <v>81</v>
      </c>
      <c r="G25" s="79">
        <v>0.44</v>
      </c>
      <c r="H25" s="79">
        <v>0.47</v>
      </c>
      <c r="I25" s="136">
        <f t="shared" si="0"/>
        <v>12277.23</v>
      </c>
      <c r="J25" s="96">
        <v>0</v>
      </c>
      <c r="K25" s="97">
        <f t="shared" si="1"/>
        <v>12277.23</v>
      </c>
    </row>
    <row r="26" spans="1:11" ht="30" customHeight="1">
      <c r="A26" s="22"/>
      <c r="B26" s="207" t="s">
        <v>37</v>
      </c>
      <c r="C26" s="231"/>
      <c r="D26" s="232"/>
      <c r="E26" s="94" t="s">
        <v>36</v>
      </c>
      <c r="F26" s="39" t="s">
        <v>81</v>
      </c>
      <c r="G26" s="36">
        <f>3.46-G27-G28</f>
        <v>3.46</v>
      </c>
      <c r="H26" s="36">
        <f>3.67-H27-H28</f>
        <v>3.36</v>
      </c>
      <c r="I26" s="136">
        <f t="shared" si="0"/>
        <v>92894.04000000001</v>
      </c>
      <c r="J26" s="103">
        <f>$J$12*0.18</f>
        <v>0</v>
      </c>
      <c r="K26" s="97">
        <f t="shared" si="1"/>
        <v>92894.04000000001</v>
      </c>
    </row>
    <row r="27" spans="1:11" ht="26.25" customHeight="1">
      <c r="A27" s="93"/>
      <c r="B27" s="226" t="s">
        <v>151</v>
      </c>
      <c r="C27" s="226"/>
      <c r="D27" s="226"/>
      <c r="E27" s="94" t="s">
        <v>36</v>
      </c>
      <c r="F27" s="39" t="s">
        <v>81</v>
      </c>
      <c r="G27" s="36">
        <v>0</v>
      </c>
      <c r="H27" s="36">
        <v>0.31</v>
      </c>
      <c r="I27" s="136">
        <f t="shared" si="0"/>
        <v>3368.09</v>
      </c>
      <c r="J27" s="103">
        <f>$J$12*0.02</f>
        <v>0</v>
      </c>
      <c r="K27" s="97">
        <f t="shared" si="1"/>
        <v>3368.09</v>
      </c>
    </row>
    <row r="28" spans="1:11" ht="17.25" customHeight="1">
      <c r="A28" s="22"/>
      <c r="B28" s="226" t="s">
        <v>152</v>
      </c>
      <c r="C28" s="226"/>
      <c r="D28" s="226"/>
      <c r="E28" s="98" t="s">
        <v>9</v>
      </c>
      <c r="F28" s="39" t="s">
        <v>81</v>
      </c>
      <c r="G28" s="36">
        <v>0</v>
      </c>
      <c r="H28" s="36">
        <v>0</v>
      </c>
      <c r="I28" s="136">
        <f t="shared" si="0"/>
        <v>0</v>
      </c>
      <c r="J28" s="103">
        <f>$J$12*0.02</f>
        <v>0</v>
      </c>
      <c r="K28" s="97">
        <f t="shared" si="1"/>
        <v>0</v>
      </c>
    </row>
    <row r="29" spans="1:11" ht="27" customHeight="1">
      <c r="A29" s="22"/>
      <c r="B29" s="227" t="s">
        <v>21</v>
      </c>
      <c r="C29" s="227"/>
      <c r="D29" s="227"/>
      <c r="E29" s="98" t="s">
        <v>36</v>
      </c>
      <c r="F29" s="39" t="s">
        <v>81</v>
      </c>
      <c r="G29" s="77">
        <v>1.06</v>
      </c>
      <c r="H29" s="77">
        <v>1.12</v>
      </c>
      <c r="I29" s="136">
        <f t="shared" si="0"/>
        <v>29443.61</v>
      </c>
      <c r="J29" s="96">
        <f>$J$12*0.1</f>
        <v>0</v>
      </c>
      <c r="K29" s="97">
        <f t="shared" si="1"/>
        <v>29443.61</v>
      </c>
    </row>
    <row r="30" spans="1:11" ht="15.75">
      <c r="A30" s="22"/>
      <c r="B30" s="233"/>
      <c r="C30" s="234"/>
      <c r="D30" s="235"/>
      <c r="E30" s="98"/>
      <c r="F30" s="39"/>
      <c r="G30" s="77"/>
      <c r="H30" s="77"/>
      <c r="I30" s="136">
        <f t="shared" si="0"/>
        <v>0</v>
      </c>
      <c r="J30" s="92"/>
      <c r="K30" s="104"/>
    </row>
    <row r="31" spans="1:11" ht="15.75">
      <c r="A31" s="22"/>
      <c r="B31" s="233"/>
      <c r="C31" s="234"/>
      <c r="D31" s="235"/>
      <c r="E31" s="98"/>
      <c r="F31" s="39"/>
      <c r="G31" s="77"/>
      <c r="H31" s="77"/>
      <c r="I31" s="102"/>
      <c r="J31" s="92"/>
      <c r="K31" s="104"/>
    </row>
    <row r="32" spans="1:11" ht="15.75">
      <c r="A32" s="22"/>
      <c r="B32" s="193" t="s">
        <v>30</v>
      </c>
      <c r="C32" s="193"/>
      <c r="D32" s="193"/>
      <c r="E32" s="14"/>
      <c r="F32" s="39"/>
      <c r="G32" s="20">
        <f>SUM(G17:G29)</f>
        <v>9.520000000000001</v>
      </c>
      <c r="H32" s="135">
        <f>SUM(H17:H29)</f>
        <v>10.09</v>
      </c>
      <c r="I32" s="45">
        <f>SUM(I17:I31)</f>
        <v>270451.81</v>
      </c>
      <c r="J32" s="105">
        <f>SUM(J17:J31)</f>
        <v>0</v>
      </c>
      <c r="K32" s="45">
        <f>SUM(K17:K31)</f>
        <v>270451.81</v>
      </c>
    </row>
    <row r="33" spans="1:11" ht="21.75" customHeight="1">
      <c r="A33" s="22"/>
      <c r="B33" s="230" t="s">
        <v>153</v>
      </c>
      <c r="C33" s="231"/>
      <c r="D33" s="232"/>
      <c r="E33" s="98" t="s">
        <v>9</v>
      </c>
      <c r="F33" s="39"/>
      <c r="G33" s="77"/>
      <c r="H33" s="77"/>
      <c r="I33" s="102"/>
      <c r="J33" s="92"/>
      <c r="K33" s="104"/>
    </row>
    <row r="34" spans="1:11" ht="27.75" customHeight="1">
      <c r="A34" s="22"/>
      <c r="B34" s="230" t="s">
        <v>154</v>
      </c>
      <c r="C34" s="231"/>
      <c r="D34" s="232"/>
      <c r="E34" s="94" t="s">
        <v>36</v>
      </c>
      <c r="F34" s="39"/>
      <c r="G34" s="77"/>
      <c r="H34" s="77"/>
      <c r="I34" s="102"/>
      <c r="J34" s="92"/>
      <c r="K34" s="104"/>
    </row>
    <row r="35" spans="1:11" ht="15.75">
      <c r="A35" s="22"/>
      <c r="B35" s="233"/>
      <c r="C35" s="234"/>
      <c r="D35" s="235"/>
      <c r="E35" s="98"/>
      <c r="F35" s="39"/>
      <c r="G35" s="77"/>
      <c r="H35" s="77"/>
      <c r="I35" s="102"/>
      <c r="J35" s="92"/>
      <c r="K35" s="104"/>
    </row>
    <row r="36" spans="1:11" ht="15" customHeight="1">
      <c r="A36" s="22" t="s">
        <v>155</v>
      </c>
      <c r="B36" s="239" t="s">
        <v>156</v>
      </c>
      <c r="C36" s="240"/>
      <c r="D36" s="240"/>
      <c r="E36" s="241"/>
      <c r="F36" s="39" t="s">
        <v>81</v>
      </c>
      <c r="G36" s="23">
        <f>I36/E3/12</f>
        <v>0</v>
      </c>
      <c r="H36" s="23"/>
      <c r="I36" s="106"/>
      <c r="J36" s="107">
        <v>0</v>
      </c>
      <c r="K36" s="41">
        <f>SUM(I36:J36)</f>
        <v>0</v>
      </c>
    </row>
    <row r="37" spans="1:11" ht="14.25" customHeight="1">
      <c r="A37" s="25"/>
      <c r="B37" s="237" t="s">
        <v>76</v>
      </c>
      <c r="C37" s="237"/>
      <c r="D37" s="237"/>
      <c r="E37" s="237"/>
      <c r="F37" s="237"/>
      <c r="G37" s="20">
        <f>SUM(G32:G36)</f>
        <v>9.520000000000001</v>
      </c>
      <c r="H37" s="20">
        <f>SUM(H32:H36)</f>
        <v>10.09</v>
      </c>
      <c r="I37" s="46">
        <f>SUM(I32:I36)</f>
        <v>270451.81</v>
      </c>
      <c r="J37" s="108">
        <f>SUM(J32:J36)</f>
        <v>0</v>
      </c>
      <c r="K37" s="46">
        <f>SUM(K32:K36)</f>
        <v>270451.81</v>
      </c>
    </row>
    <row r="38" spans="1:11" ht="15.75">
      <c r="A38" s="22" t="s">
        <v>157</v>
      </c>
      <c r="B38" s="236" t="s">
        <v>158</v>
      </c>
      <c r="C38" s="236"/>
      <c r="D38" s="236"/>
      <c r="E38" s="236"/>
      <c r="F38" s="236"/>
      <c r="G38" s="23"/>
      <c r="H38" s="23"/>
      <c r="I38" s="109">
        <v>0</v>
      </c>
      <c r="J38" s="109">
        <v>0</v>
      </c>
      <c r="K38" s="110">
        <f>SUM(I38:J38)</f>
        <v>0</v>
      </c>
    </row>
    <row r="39" spans="1:11" ht="24.75" customHeight="1">
      <c r="A39" s="25"/>
      <c r="B39" s="237" t="s">
        <v>159</v>
      </c>
      <c r="C39" s="237"/>
      <c r="D39" s="237"/>
      <c r="E39" s="237"/>
      <c r="F39" s="237"/>
      <c r="G39" s="20">
        <f>SUM(G37:G38)</f>
        <v>9.520000000000001</v>
      </c>
      <c r="H39" s="20">
        <f>SUM(H37:H38)</f>
        <v>10.09</v>
      </c>
      <c r="I39" s="46">
        <f>SUM(I37:I38)</f>
        <v>270451.81</v>
      </c>
      <c r="J39" s="108">
        <f>SUM(J37:J38)</f>
        <v>0</v>
      </c>
      <c r="K39" s="46">
        <f>SUM(K37:K38)</f>
        <v>270451.81</v>
      </c>
    </row>
    <row r="40" spans="1:11" ht="27" customHeight="1">
      <c r="A40" s="22">
        <v>3</v>
      </c>
      <c r="B40" s="207" t="s">
        <v>209</v>
      </c>
      <c r="C40" s="208"/>
      <c r="D40" s="208"/>
      <c r="E40" s="208"/>
      <c r="F40" s="208"/>
      <c r="G40" s="209"/>
      <c r="H40" s="133"/>
      <c r="I40" s="95">
        <f>I14-I39</f>
        <v>44844.69000000006</v>
      </c>
      <c r="J40" s="95">
        <f>J14-J39</f>
        <v>0</v>
      </c>
      <c r="K40" s="111">
        <f>K14-K39</f>
        <v>44844.69000000006</v>
      </c>
    </row>
    <row r="41" spans="2:6" ht="15.75">
      <c r="B41" s="33"/>
      <c r="F41" s="33"/>
    </row>
    <row r="42" spans="2:10" ht="21" customHeight="1">
      <c r="B42" s="238" t="s">
        <v>196</v>
      </c>
      <c r="C42" s="238"/>
      <c r="D42" s="238"/>
      <c r="E42" s="238"/>
      <c r="F42" s="238"/>
      <c r="G42" s="238"/>
      <c r="H42" s="238"/>
      <c r="I42" s="238"/>
      <c r="J42" s="238"/>
    </row>
    <row r="43" spans="2:4" ht="18" customHeight="1">
      <c r="B43" s="33"/>
      <c r="C43" s="33"/>
      <c r="D43" s="33"/>
    </row>
    <row r="44" spans="2:4" ht="15.75">
      <c r="B44" s="37" t="s">
        <v>79</v>
      </c>
      <c r="C44" s="37"/>
      <c r="D44" s="37"/>
    </row>
    <row r="45" spans="2:6" ht="15.75">
      <c r="B45" s="48" t="s">
        <v>210</v>
      </c>
      <c r="C45" s="48"/>
      <c r="D45" s="48"/>
      <c r="E45" s="48"/>
      <c r="F45" s="48"/>
    </row>
    <row r="46" spans="2:4" ht="15.75" customHeight="1">
      <c r="B46" s="206" t="s">
        <v>86</v>
      </c>
      <c r="C46" s="206"/>
      <c r="D46" s="206"/>
    </row>
  </sheetData>
  <sheetProtection/>
  <mergeCells count="38">
    <mergeCell ref="B8:F8"/>
    <mergeCell ref="B9:F9"/>
    <mergeCell ref="A1:K1"/>
    <mergeCell ref="A2:K2"/>
    <mergeCell ref="B7:D7"/>
    <mergeCell ref="I7:K7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33:D33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5:D35"/>
    <mergeCell ref="B36:E36"/>
    <mergeCell ref="B42:J42"/>
    <mergeCell ref="B46:D46"/>
    <mergeCell ref="B37:F37"/>
    <mergeCell ref="B38:F38"/>
    <mergeCell ref="B39:F39"/>
    <mergeCell ref="B40:G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2013-03-05T08:45:08Z</cp:lastPrinted>
  <dcterms:created xsi:type="dcterms:W3CDTF">2009-08-26T03:25:10Z</dcterms:created>
  <dcterms:modified xsi:type="dcterms:W3CDTF">2013-05-08T04:52:04Z</dcterms:modified>
  <cp:category/>
  <cp:version/>
  <cp:contentType/>
  <cp:contentStatus/>
</cp:coreProperties>
</file>