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405" windowWidth="15480" windowHeight="11580" firstSheet="8" activeTab="8"/>
  </bookViews>
  <sheets>
    <sheet name="2008" sheetId="1" r:id="rId1"/>
    <sheet name="отчет 2009" sheetId="2" r:id="rId2"/>
    <sheet name="отчет 2010" sheetId="3" r:id="rId3"/>
    <sheet name="смета 2011" sheetId="4" r:id="rId4"/>
    <sheet name="отчет 0211" sheetId="5" r:id="rId5"/>
    <sheet name="смета 2012" sheetId="6" state="hidden" r:id="rId6"/>
    <sheet name="Лист1" sheetId="7" state="hidden" r:id="rId7"/>
    <sheet name="07.2012" sheetId="8" state="hidden" r:id="rId8"/>
    <sheet name="отчет12(01-11)" sheetId="9" r:id="rId9"/>
    <sheet name="накопит отчет" sheetId="10" state="hidden" r:id="rId10"/>
  </sheets>
  <definedNames/>
  <calcPr fullCalcOnLoad="1"/>
</workbook>
</file>

<file path=xl/sharedStrings.xml><?xml version="1.0" encoding="utf-8"?>
<sst xmlns="http://schemas.openxmlformats.org/spreadsheetml/2006/main" count="793" uniqueCount="252">
  <si>
    <t>S дома, кв.м</t>
  </si>
  <si>
    <t>Кол-во этажей</t>
  </si>
  <si>
    <t>Кол-во квартир</t>
  </si>
  <si>
    <t>Кол-во подъездов</t>
  </si>
  <si>
    <t>Подкачка</t>
  </si>
  <si>
    <t>Бойлер</t>
  </si>
  <si>
    <t>Периодичность,
объем работ</t>
  </si>
  <si>
    <t>Подрядная   
организация</t>
  </si>
  <si>
    <t>12 час/сутки</t>
  </si>
  <si>
    <t>круглосуточно</t>
  </si>
  <si>
    <t>ООО "Энергосервис"</t>
  </si>
  <si>
    <t>Содержание и эксплуатация лифтового оборудования</t>
  </si>
  <si>
    <t>МУП "ОрскЛифтСервис"</t>
  </si>
  <si>
    <t>1 раз/год</t>
  </si>
  <si>
    <t>ООО "Резон"</t>
  </si>
  <si>
    <t>Уборка лестничных площадок, маршей</t>
  </si>
  <si>
    <t>нет</t>
  </si>
  <si>
    <t>Утилизация бытового мусора</t>
  </si>
  <si>
    <t xml:space="preserve">Сбор, вывоз  бытового мусора, содержание контейнерных площадок, мусоропроводов </t>
  </si>
  <si>
    <t>ООО "Эцезис"</t>
  </si>
  <si>
    <t>ОАО "Энергосбыт"</t>
  </si>
  <si>
    <t>Управление  жилищным фондом</t>
  </si>
  <si>
    <t>Тариф 
на 
1 кв.м.</t>
  </si>
  <si>
    <t xml:space="preserve">Эл. энергия  мест общего пользования </t>
  </si>
  <si>
    <t>ООО 
"Транспортник - О"</t>
  </si>
  <si>
    <t>ОАО
"ОренбургОблГаз"</t>
  </si>
  <si>
    <t>Дератизация и дезинсекция  подвальных помещений</t>
  </si>
  <si>
    <t xml:space="preserve">Содержание и эксплуатация общедомового газового оборудования </t>
  </si>
  <si>
    <t>Обслуживание и ремонт бойлеров</t>
  </si>
  <si>
    <t>Обслуживание и ремонт подкачек</t>
  </si>
  <si>
    <t>Итого по обязательным расходам:</t>
  </si>
  <si>
    <t xml:space="preserve">Аварийное обслуживание </t>
  </si>
  <si>
    <t>ежедневно</t>
  </si>
  <si>
    <t>Сумма
в год, руб.</t>
  </si>
  <si>
    <t>ав/обслуж - круглосуточно 
профосмотр -
 1 раз в год</t>
  </si>
  <si>
    <t xml:space="preserve">Содержание придомовой территории </t>
  </si>
  <si>
    <t>по графику 40-час. рабочей недели</t>
  </si>
  <si>
    <r>
      <t>Тех. обслуживание, подготовка дома к сезонной эксплуатации</t>
    </r>
    <r>
      <rPr>
        <sz val="12"/>
        <rFont val="Times New Roman"/>
        <family val="0"/>
      </rPr>
      <t xml:space="preserve"> </t>
    </r>
  </si>
  <si>
    <t xml:space="preserve"> Текущий ремонт общего имущества</t>
  </si>
  <si>
    <t>Финансовый результат</t>
  </si>
  <si>
    <t>5.1.</t>
  </si>
  <si>
    <t xml:space="preserve"> 5.1.1</t>
  </si>
  <si>
    <t>5.1.2.</t>
  </si>
  <si>
    <t xml:space="preserve"> 5.1.3</t>
  </si>
  <si>
    <t>5.1.4.</t>
  </si>
  <si>
    <t>5.1.6.</t>
  </si>
  <si>
    <t xml:space="preserve"> 5.1.7.</t>
  </si>
  <si>
    <t xml:space="preserve"> 5.1.5.</t>
  </si>
  <si>
    <t>5.1.8.</t>
  </si>
  <si>
    <t xml:space="preserve"> 5.1.9</t>
  </si>
  <si>
    <t>5.1.10.</t>
  </si>
  <si>
    <t xml:space="preserve"> 5.1.11</t>
  </si>
  <si>
    <t>5.1.12.</t>
  </si>
  <si>
    <t xml:space="preserve"> 5.1.13.</t>
  </si>
  <si>
    <t>5.1.14.</t>
  </si>
  <si>
    <t>5.1.15.</t>
  </si>
  <si>
    <t>5.2.</t>
  </si>
  <si>
    <t>5.3.</t>
  </si>
  <si>
    <t>6.1.</t>
  </si>
  <si>
    <t>6.2.</t>
  </si>
  <si>
    <t>6.3.</t>
  </si>
  <si>
    <t>№
п/п</t>
  </si>
  <si>
    <t>6.</t>
  </si>
  <si>
    <t xml:space="preserve"> - начислено за содержание и текущий ремонт общего имущества жилого дома за 2009г</t>
  </si>
  <si>
    <t xml:space="preserve"> - оплачено за содержание и текущий ремонт общего имущества жилого дома за 2009г</t>
  </si>
  <si>
    <t>Расчеты с населением по утвержденному тарифу</t>
  </si>
  <si>
    <t xml:space="preserve"> Долг (+), переплата (-) на 01.01.2009г.</t>
  </si>
  <si>
    <t xml:space="preserve"> -  за содержание</t>
  </si>
  <si>
    <t xml:space="preserve"> -  за  текущий ремонт </t>
  </si>
  <si>
    <t xml:space="preserve"> - долг (+), переплата (-)  за 2009 год</t>
  </si>
  <si>
    <t xml:space="preserve"> Долг (+), переплата (-) на 01.01.2010г.</t>
  </si>
  <si>
    <t xml:space="preserve">Финансовый результат за 2008г. (+ экономия,- перерасход)                                                      </t>
  </si>
  <si>
    <t xml:space="preserve">Финансовый результат за 2009г. (+ экономия,- перерасход),   гр.2  -  гр.5.3                                                 </t>
  </si>
  <si>
    <t xml:space="preserve">Финансовый результат на 01.01.2010г. (+ экономия,- перерасход) , гр.6.1.+  гр.6.2.                                                   </t>
  </si>
  <si>
    <t>Затраты на содержание общедомового имущества:</t>
  </si>
  <si>
    <t>Обязательные работы, в том числе:</t>
  </si>
  <si>
    <t xml:space="preserve"> Итого затрат:</t>
  </si>
  <si>
    <t>Противопожарные мероприятия:  содержание и обслуживание вентканалов и шахт</t>
  </si>
  <si>
    <t xml:space="preserve">Директор ООО "ОЖКС № 6"                                               Л.И. Никашина                           </t>
  </si>
  <si>
    <t>Принято:</t>
  </si>
  <si>
    <t xml:space="preserve"> </t>
  </si>
  <si>
    <t>ООО "ОЖКС № 6"</t>
  </si>
  <si>
    <t>Адрес:</t>
  </si>
  <si>
    <t>Добровольского, 7</t>
  </si>
  <si>
    <t>Председатель ТСЖ                                                               Т.И. Пилипенко</t>
  </si>
  <si>
    <t>Претензий по управлению нет (да)</t>
  </si>
  <si>
    <t xml:space="preserve">                    Товарищество собственников жилья "ТСЖ - 29" в лице председателя Пилипенко Т.И., действующего на основании Устава, с одной стороны и Общество с Ограниченной Ответственностью "Октябрьский Жилкомсервис № 6" в лице директора Никашиной Л.И., действующего на основании Устава, с другой стороны, составили настоящий отчет  о выполненных работах  в 2009 году.  </t>
  </si>
  <si>
    <t>ОТЧЕТ
о выполненных работах в 2008 году по договору управления МКД №367 от 28.03.2008 г., заключенного между ООО "ОЖКС № 6" и ТСЖ - 29
по адресу:  ул. Добровольского, 7</t>
  </si>
  <si>
    <t xml:space="preserve">        Товарищество собственников жилья "ТСЖ - 29" в лице председателя Борисенко О.Н., действующего на основании Устава, с одной стороны и Общество с Ограниченной Ответственностью "Октябрьский Жилкомсервис №6" в лице директора Никашиной Л.И., действующего на основании Устава, с другой стороны, составили настоящий отчет  о выполненных работах  в 2008 году.  </t>
  </si>
  <si>
    <t>№/п</t>
  </si>
  <si>
    <t>Характеристика  и показатели произведенных работ</t>
  </si>
  <si>
    <t>ед.изм.</t>
  </si>
  <si>
    <t>с кап.ремонтом</t>
  </si>
  <si>
    <t>без кап.ремонта</t>
  </si>
  <si>
    <t>1.</t>
  </si>
  <si>
    <t xml:space="preserve"> Количество этажей</t>
  </si>
  <si>
    <t>шт.</t>
  </si>
  <si>
    <t>2.</t>
  </si>
  <si>
    <t>Общая площадь</t>
  </si>
  <si>
    <t>кв.м</t>
  </si>
  <si>
    <t>3.</t>
  </si>
  <si>
    <t>Количество квартир</t>
  </si>
  <si>
    <t>4.</t>
  </si>
  <si>
    <t>Количество зарегистрированных на 01.01.09г.</t>
  </si>
  <si>
    <t>чел.</t>
  </si>
  <si>
    <t>из них:</t>
  </si>
  <si>
    <t xml:space="preserve"> - собственников</t>
  </si>
  <si>
    <t xml:space="preserve"> - нанимателей</t>
  </si>
  <si>
    <t>Доходы:</t>
  </si>
  <si>
    <t xml:space="preserve"> 4.1</t>
  </si>
  <si>
    <t>Содержание, текущий ремонт общего имущества жилого дома:</t>
  </si>
  <si>
    <t xml:space="preserve"> - начислено</t>
  </si>
  <si>
    <t xml:space="preserve">руб. </t>
  </si>
  <si>
    <t xml:space="preserve"> - оплачено</t>
  </si>
  <si>
    <t xml:space="preserve"> - долг населения за текущий год</t>
  </si>
  <si>
    <t xml:space="preserve"> 4.2</t>
  </si>
  <si>
    <t>Капитальный ремонт:</t>
  </si>
  <si>
    <t>Итого доходов:</t>
  </si>
  <si>
    <t>Итого долг населения за текущий год:</t>
  </si>
  <si>
    <t xml:space="preserve">5. </t>
  </si>
  <si>
    <t>Расходы:</t>
  </si>
  <si>
    <t xml:space="preserve"> 5.1</t>
  </si>
  <si>
    <r>
      <t>Управление жилищным фондом :</t>
    </r>
    <r>
      <rPr>
        <sz val="12"/>
        <rFont val="Times New Roman"/>
        <family val="0"/>
      </rPr>
      <t xml:space="preserve">
(ведение технической, бухгалтерской и прочей документации, выдача справок, доверенностей и т.п., контроль за качеством и сроками выполнения работ по содержанию и текущему ремонту, осуществление договорно-правовой деятельности, юридические услуги)</t>
    </r>
  </si>
  <si>
    <t xml:space="preserve"> 5.2</t>
  </si>
  <si>
    <r>
      <t xml:space="preserve">Техническое обслуживание мест общего пользования:
</t>
    </r>
    <r>
      <rPr>
        <sz val="12"/>
        <rFont val="Times New Roman"/>
        <family val="1"/>
      </rPr>
      <t>(проведение тех.осмотров и обходов, обеспечение работоспособности инженерного оборудования,  сантехнические работы,обслуживание ВДГО,содержание в исправном состоянии несущих конструкций,подвалов, чердачных помещений, подъездов, крыш, аварийно-восстановительные работы)</t>
    </r>
  </si>
  <si>
    <t xml:space="preserve"> 5.3</t>
  </si>
  <si>
    <t>Текущий ремонт (см. приложение)</t>
  </si>
  <si>
    <t>Итого расходы</t>
  </si>
  <si>
    <t>Финансовый результат (+ экономия, - перерасход)</t>
  </si>
  <si>
    <t>7.</t>
  </si>
  <si>
    <t>Финансовый результат с учетом долга населения 
(+ экономия, - перерасход)</t>
  </si>
  <si>
    <t xml:space="preserve">Директор ООО "ОЖКС № 6                                              Л.И. Никашина                               </t>
  </si>
  <si>
    <t>Председатель ТСЖ                                                               О.Н. Борисенко</t>
  </si>
  <si>
    <t>Претензий по управлению нет.</t>
  </si>
  <si>
    <t>Стоимость работ
руб.</t>
  </si>
  <si>
    <t>Расчеты с населением по планируемому тарифу</t>
  </si>
  <si>
    <t xml:space="preserve">    - ожидаемый сбор на капитальный ремонт</t>
  </si>
  <si>
    <t>Сбор, вывоз  бытового мусора, содержание контейнерных площадок</t>
  </si>
  <si>
    <t>1 раз/неделю - подметание
1 раз/месяц 
влажная уборка</t>
  </si>
  <si>
    <t>ООО  "ОЖКС № 6"</t>
  </si>
  <si>
    <t>Виды услуг</t>
  </si>
  <si>
    <t>Сумма в год, руб.</t>
  </si>
  <si>
    <t>население</t>
  </si>
  <si>
    <t>арендаторы</t>
  </si>
  <si>
    <t>всего</t>
  </si>
  <si>
    <t>ДОХОДЫ</t>
  </si>
  <si>
    <t xml:space="preserve"> - оплачено за содержание и текущий ремонт общего имущества жилого дома </t>
  </si>
  <si>
    <t xml:space="preserve"> - оплачено за капитальный ремонт общего имущества жилого дома </t>
  </si>
  <si>
    <t xml:space="preserve"> - прочие доходы (арендаторы)</t>
  </si>
  <si>
    <t xml:space="preserve"> - прочие доходы </t>
  </si>
  <si>
    <t xml:space="preserve"> - итого получено доходов</t>
  </si>
  <si>
    <t>2.1.</t>
  </si>
  <si>
    <t xml:space="preserve">по графику </t>
  </si>
  <si>
    <t>ав/обслуж - круглосуточно 
профосмотр -
 1 раз в год по графику</t>
  </si>
  <si>
    <t xml:space="preserve">Содержание и уборка придомовой территории </t>
  </si>
  <si>
    <t>Обслуживание бойлеров</t>
  </si>
  <si>
    <t>Обслуживание  подкачек</t>
  </si>
  <si>
    <t>Обслуживание домофонов</t>
  </si>
  <si>
    <t>Обслуживание приборов учета</t>
  </si>
  <si>
    <t>2.2.</t>
  </si>
  <si>
    <t xml:space="preserve"> Текущий ремонт общего имущества (см. приложение)</t>
  </si>
  <si>
    <t>2.3.</t>
  </si>
  <si>
    <t>Капитальный ремонт (см.приложение)</t>
  </si>
  <si>
    <t xml:space="preserve"> Всего затрат:</t>
  </si>
  <si>
    <t xml:space="preserve">Финансовый результат за 2010г. (+ экономия,- перерасход)                                                      </t>
  </si>
  <si>
    <t>Сальдо
 на 01.01
+экономия
-перерасход</t>
  </si>
  <si>
    <t>год</t>
  </si>
  <si>
    <t>взаимоотношения с населением по утвержденному тарифу, руб.</t>
  </si>
  <si>
    <t>прочие доходы, руб.</t>
  </si>
  <si>
    <t>ИТОГО
ДОХОДОВ</t>
  </si>
  <si>
    <t>выполнено работ, руб.</t>
  </si>
  <si>
    <t>начислено</t>
  </si>
  <si>
    <t>оплачено</t>
  </si>
  <si>
    <t>результат
(+долг, 
-перепл.)</t>
  </si>
  <si>
    <t>аренда
торы</t>
  </si>
  <si>
    <t>антенны</t>
  </si>
  <si>
    <t>бюджетные
средства по ФЗ-185</t>
  </si>
  <si>
    <t>управ
ление</t>
  </si>
  <si>
    <t>обслуж.</t>
  </si>
  <si>
    <t>тек. рем.</t>
  </si>
  <si>
    <t>кап.рем.</t>
  </si>
  <si>
    <t>итого</t>
  </si>
  <si>
    <t>обслуж.
+ тек.р.</t>
  </si>
  <si>
    <t>5=3+4</t>
  </si>
  <si>
    <t>8=6+7</t>
  </si>
  <si>
    <t>9=5-8</t>
  </si>
  <si>
    <t>13=
8+10+11+12</t>
  </si>
  <si>
    <t>18=14+15+
16+17</t>
  </si>
  <si>
    <t>19=13-18</t>
  </si>
  <si>
    <t>2008г</t>
  </si>
  <si>
    <t>2009г</t>
  </si>
  <si>
    <t>2010г</t>
  </si>
  <si>
    <t>2011г</t>
  </si>
  <si>
    <t>Итого</t>
  </si>
  <si>
    <t>ОТЧЕТ
за  2009 г. о выполненнии условий  договора управления МКД
№ 367/6 от 28.03.2008 г., заключенного между ООО "ОЖКС №6" 
и ТСЖ - 29
по адресу:  ул. Добровольского, 7</t>
  </si>
  <si>
    <t>ОТЧЕТ
за  2010 г. о выполненнии условий  договора управления МКД 
№ 367/6 от 28.03.2008 г., заключенного между ООО "ОЖКС №6" 
и ТСЖ - 29
по адресу:  ул. Добровольского, 7</t>
  </si>
  <si>
    <t>ОТЧЕТ
по  договору управления МКД 
№ 367/6 от 28.03.2008 г., заключенного между ООО "ОЖКС №6" 
и ТСЖ - 29
по адресу:  ул. Добровольского, 7</t>
  </si>
  <si>
    <t xml:space="preserve">                  Товарищество собственников жилья "ТСЖ - 29" в лице председателя Пилипенко Т.И.., с одной стороны и Общество с Ограниченной Ответственностью "Октябрьский Жилкомсервис № 6" в лице директора Никашиной Л.И., действующего на основании Устава, с другой стороны, составили настоящий отчет о выполненных работах в 2010 году.  </t>
  </si>
  <si>
    <t xml:space="preserve">Директор ООО "ОЖКС № 6"                                                                     Л.И. Никашина                               </t>
  </si>
  <si>
    <t>Смета
доходов и расходов  на  2011 г.
согласно договора управления МКД 
№367/6 от 28.03.2008 г., заключенного между ООО "ОЖКС №6" 
и ТСЖ - 29
по адресу:  ул. Добровольского, 7</t>
  </si>
  <si>
    <t>Тариф на 
1 кв.м.
руб.</t>
  </si>
  <si>
    <t xml:space="preserve"> - ожидаемый сбор на содержание и текущий ремонт общего имущества жилого дома</t>
  </si>
  <si>
    <r>
      <t xml:space="preserve">Сбор, вывоз  бытового мусора, содержание  </t>
    </r>
    <r>
      <rPr>
        <sz val="12"/>
        <color indexed="10"/>
        <rFont val="Times New Roman"/>
        <family val="1"/>
      </rPr>
      <t>контейнерных площадок</t>
    </r>
  </si>
  <si>
    <t>по договору</t>
  </si>
  <si>
    <t>Обслуживание  бойлеров</t>
  </si>
  <si>
    <t xml:space="preserve"> Текущий ремонт общего имущества  (см. приложение)</t>
  </si>
  <si>
    <t>Всего затрат:</t>
  </si>
  <si>
    <t>Капитальный ремонт  (см. приложение)</t>
  </si>
  <si>
    <t xml:space="preserve">Директор ООО "ОЖКС № 6"                                                                         Л.И. Никашина                           </t>
  </si>
  <si>
    <t>результат
 за год
(+эконом., 
-перерасх.)</t>
  </si>
  <si>
    <t>ОТЧЕТ
за  2011 г. о выполненнии условий  договора управления МКД 
№ 367/6 от 28.03.2008 г., заключенного между ООО "ОЖКС №6" 
и ТСЖ - 29
по адресу:  ул. Добровольского, 7</t>
  </si>
  <si>
    <t xml:space="preserve">                  Товарищество собственников жилья "ТСЖ - 29" в лице председателя _________________________________, с одной стороны и Общество с Ограниченной Ответственностью "Октябрьский Жилкомсервис № 6" в лице директора Никашиной Л.И., действующего на основании Устава, с другой стороны, составили настоящий отчет о выполненных работах в 2011 году.  </t>
  </si>
  <si>
    <t xml:space="preserve">Финансовый результат за 2011г. (+ экономия,- перерасход)                                                      </t>
  </si>
  <si>
    <t>Председатель ТСЖ                                                            _____________________________</t>
  </si>
  <si>
    <t>Смета
доходов и расходов  на  2012 г.
согласно договора управления МКД 
№367/6 от 28.03.2008 г., заключенного между ООО "ОЖКС №6" 
и ТСЖ - 29
по адресу:  ул. Добровольского, 7</t>
  </si>
  <si>
    <r>
      <t xml:space="preserve">Сбор, вывоз  бытового мусора, содержание </t>
    </r>
    <r>
      <rPr>
        <sz val="12"/>
        <rFont val="Times New Roman"/>
        <family val="1"/>
      </rPr>
      <t xml:space="preserve"> контейнерных площадок</t>
    </r>
  </si>
  <si>
    <t xml:space="preserve"> Текущий ремонт общего имущества  </t>
  </si>
  <si>
    <t xml:space="preserve">Капитальный ремонт  </t>
  </si>
  <si>
    <t>Справочно: индкекс увеличения тарифа по году 103%:
- с 1 января 2012 г. Тариф остается на уровне 2011 г.
- с 1 июля 2012 г. к тарифу применен индекс 106%</t>
  </si>
  <si>
    <t>По заявлению жителей в подъездах всего дома уборка лестнечних клеток непроизводится с 01.01.10г</t>
  </si>
  <si>
    <t>5=гр.4*Sдома*1мес.</t>
  </si>
  <si>
    <t>1.1.</t>
  </si>
  <si>
    <t>подметание асфальта - 1 раз/неделю, подбор мусора-ежедневно</t>
  </si>
  <si>
    <t xml:space="preserve">         Приложение №7 к Договору 
на оказание услуг и  выполнение работ      
по содержанию, текущему и капитальному ремонту                                                            общего имущества МКД № ___ от "____"________2012г.</t>
  </si>
  <si>
    <t>Расчет стоимости договора и тарифа 1 м2 на 2012 г.</t>
  </si>
  <si>
    <t>Тариф на 
1 кв.м. декабрь 2012г.
руб.</t>
  </si>
  <si>
    <t>__________________________</t>
  </si>
  <si>
    <t>________________________</t>
  </si>
  <si>
    <t xml:space="preserve">Директор ООО "ОЖКС № 6"                                                             Л.И. Никашина                           </t>
  </si>
  <si>
    <t>* в случае уточнения площадей возможно изменение стоимости</t>
  </si>
  <si>
    <t>Тариф с 1 декабря 2012 г. - 10,74 руб., капитальный ремонт - 0,80 руб.</t>
  </si>
  <si>
    <t>по плану работ</t>
  </si>
  <si>
    <t>Стоимость работ за  декабрь 2012г.
руб.</t>
  </si>
  <si>
    <t>1.2.</t>
  </si>
  <si>
    <t>1.3.</t>
  </si>
  <si>
    <t xml:space="preserve">               По заявлению жителей в подъездах всего дома уборка лестнечних клеток непроизводится с 01.01.10г</t>
  </si>
  <si>
    <t>ОТЧЕТ
с 01.01.12г по 30.11.12 г. о выполненнии условий  договора управления МКД 
№ 367/6 от 28.03.2008 г., заключенного между ООО "ОЖКС №6" 
и ТСЖ - 29
по адресу:  ул. Добровольского, 7</t>
  </si>
  <si>
    <t xml:space="preserve">                  Товарищество собственников жилья "ТСЖ - 29" в лице председателя _________________________________, с одной стороны и Общество с Ограниченной Ответственностью "Октябрьский Жилкомсервис № 6" в лице директора Никашиной Л.И., действующего на основании Устава, с другой стороны, составили настоящий отчет о выполненных работах с 01.01.12г по 30.11.12 г..  </t>
  </si>
  <si>
    <t>S жилых и нежилых помещений, кв.м</t>
  </si>
  <si>
    <t>Тариф 01.01.12г-30.06.12г</t>
  </si>
  <si>
    <t>кол-во мес. по дог. управления</t>
  </si>
  <si>
    <t>Сбор, вывоз бытового мусора</t>
  </si>
  <si>
    <t>подметание асфальта -   1 раз/неделю,                
подбор мусора - ежедневно</t>
  </si>
  <si>
    <t xml:space="preserve">Директор ООО "ОЖКС № 6"                                            Л.И. Никашина                               </t>
  </si>
  <si>
    <t>Исполнитель: Стыценкова И.А.</t>
  </si>
  <si>
    <t>Тариф 01.07.12г.-30.11.12г.</t>
  </si>
  <si>
    <t>Сумма 
с 01.01.12г по 30.11.12г.,
 руб.</t>
  </si>
  <si>
    <t xml:space="preserve">Финансовый результат за с 01.01.12г. по 30.10.12г. (+ экономия,- перерасход)                                                      </t>
  </si>
  <si>
    <t>2012г</t>
  </si>
  <si>
    <t xml:space="preserve">Директор ООО "ОЖКС № 6"                                 </t>
  </si>
  <si>
    <t xml:space="preserve">____________ Л.И. Никашина                               </t>
  </si>
  <si>
    <t>Председатель ТСЖ                               _____________________________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</si>
</sst>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\ 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_ ;[Red]\-#,##0.0\ "/>
    <numFmt numFmtId="171" formatCode="#,##0_ ;[Red]\-#,##0\ "/>
  </numFmts>
  <fonts count="31">
    <font>
      <sz val="12"/>
      <name val="Times New Roman"/>
      <family val="0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i/>
      <sz val="16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2"/>
      <color indexed="10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10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29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left" indent="7"/>
    </xf>
    <xf numFmtId="0" fontId="0" fillId="0" borderId="0" xfId="0" applyAlignment="1">
      <alignment horizontal="left" vertical="center"/>
    </xf>
    <xf numFmtId="164" fontId="2" fillId="0" borderId="10" xfId="0" applyNumberFormat="1" applyFont="1" applyBorder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center" vertical="center"/>
    </xf>
    <xf numFmtId="164" fontId="0" fillId="24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/>
    </xf>
    <xf numFmtId="164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65" fontId="0" fillId="0" borderId="0" xfId="0" applyNumberFormat="1" applyAlignment="1">
      <alignment horizontal="left" vertical="center"/>
    </xf>
    <xf numFmtId="3" fontId="0" fillId="0" borderId="0" xfId="0" applyNumberFormat="1" applyAlignment="1">
      <alignment horizontal="left" vertical="center"/>
    </xf>
    <xf numFmtId="14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/>
    </xf>
    <xf numFmtId="164" fontId="2" fillId="24" borderId="10" xfId="0" applyNumberFormat="1" applyFont="1" applyFill="1" applyBorder="1" applyAlignment="1">
      <alignment vertical="center"/>
    </xf>
    <xf numFmtId="4" fontId="0" fillId="24" borderId="1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3" fontId="2" fillId="0" borderId="0" xfId="0" applyNumberFormat="1" applyFont="1" applyAlignment="1">
      <alignment horizontal="left" vertical="center"/>
    </xf>
    <xf numFmtId="164" fontId="0" fillId="24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" fontId="0" fillId="25" borderId="10" xfId="0" applyNumberFormat="1" applyFont="1" applyFill="1" applyBorder="1" applyAlignment="1">
      <alignment/>
    </xf>
    <xf numFmtId="4" fontId="2" fillId="25" borderId="10" xfId="0" applyNumberFormat="1" applyFont="1" applyFill="1" applyBorder="1" applyAlignment="1">
      <alignment/>
    </xf>
    <xf numFmtId="4" fontId="0" fillId="25" borderId="10" xfId="0" applyNumberFormat="1" applyFont="1" applyFill="1" applyBorder="1" applyAlignment="1">
      <alignment/>
    </xf>
    <xf numFmtId="0" fontId="2" fillId="25" borderId="10" xfId="0" applyFont="1" applyFill="1" applyBorder="1" applyAlignment="1">
      <alignment/>
    </xf>
    <xf numFmtId="4" fontId="0" fillId="25" borderId="10" xfId="0" applyNumberFormat="1" applyFont="1" applyFill="1" applyBorder="1" applyAlignment="1">
      <alignment horizontal="center" vertical="center"/>
    </xf>
    <xf numFmtId="4" fontId="2" fillId="25" borderId="10" xfId="0" applyNumberFormat="1" applyFont="1" applyFill="1" applyBorder="1" applyAlignment="1">
      <alignment horizontal="center"/>
    </xf>
    <xf numFmtId="164" fontId="2" fillId="25" borderId="10" xfId="0" applyNumberFormat="1" applyFont="1" applyFill="1" applyBorder="1" applyAlignment="1">
      <alignment vertical="center"/>
    </xf>
    <xf numFmtId="4" fontId="0" fillId="25" borderId="10" xfId="0" applyNumberFormat="1" applyFont="1" applyFill="1" applyBorder="1" applyAlignment="1">
      <alignment horizontal="center"/>
    </xf>
    <xf numFmtId="0" fontId="2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3" fontId="0" fillId="0" borderId="1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16" fontId="2" fillId="0" borderId="13" xfId="0" applyNumberFormat="1" applyFont="1" applyBorder="1" applyAlignment="1">
      <alignment horizontal="center"/>
    </xf>
    <xf numFmtId="16" fontId="0" fillId="0" borderId="13" xfId="0" applyNumberForma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16" fontId="2" fillId="0" borderId="13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wrapText="1"/>
    </xf>
    <xf numFmtId="3" fontId="2" fillId="0" borderId="10" xfId="0" applyNumberFormat="1" applyFont="1" applyBorder="1" applyAlignment="1">
      <alignment horizontal="center"/>
    </xf>
    <xf numFmtId="16" fontId="2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 wrapText="1"/>
    </xf>
    <xf numFmtId="164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164" fontId="5" fillId="0" borderId="10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6" fontId="2" fillId="0" borderId="10" xfId="0" applyNumberFormat="1" applyFont="1" applyBorder="1" applyAlignment="1">
      <alignment horizontal="center" vertical="center"/>
    </xf>
    <xf numFmtId="4" fontId="0" fillId="24" borderId="10" xfId="0" applyNumberFormat="1" applyFont="1" applyFill="1" applyBorder="1" applyAlignment="1">
      <alignment/>
    </xf>
    <xf numFmtId="4" fontId="0" fillId="0" borderId="10" xfId="0" applyNumberFormat="1" applyBorder="1" applyAlignment="1">
      <alignment/>
    </xf>
    <xf numFmtId="2" fontId="0" fillId="0" borderId="10" xfId="0" applyNumberFormat="1" applyBorder="1" applyAlignment="1">
      <alignment horizontal="center" vertical="center"/>
    </xf>
    <xf numFmtId="4" fontId="2" fillId="25" borderId="10" xfId="0" applyNumberFormat="1" applyFont="1" applyFill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4" fontId="0" fillId="25" borderId="10" xfId="0" applyNumberFormat="1" applyFont="1" applyFill="1" applyBorder="1" applyAlignment="1">
      <alignment horizontal="center" vertical="center"/>
    </xf>
    <xf numFmtId="2" fontId="0" fillId="25" borderId="10" xfId="0" applyNumberFormat="1" applyFill="1" applyBorder="1" applyAlignment="1">
      <alignment horizontal="center" vertical="center"/>
    </xf>
    <xf numFmtId="2" fontId="2" fillId="25" borderId="10" xfId="0" applyNumberFormat="1" applyFont="1" applyFill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2" fontId="2" fillId="24" borderId="10" xfId="0" applyNumberFormat="1" applyFont="1" applyFill="1" applyBorder="1" applyAlignment="1">
      <alignment horizontal="center" vertical="center"/>
    </xf>
    <xf numFmtId="0" fontId="6" fillId="24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4" fontId="0" fillId="24" borderId="10" xfId="0" applyNumberFormat="1" applyFont="1" applyFill="1" applyBorder="1" applyAlignment="1">
      <alignment horizontal="center" vertical="center"/>
    </xf>
    <xf numFmtId="2" fontId="0" fillId="24" borderId="10" xfId="0" applyNumberFormat="1" applyFill="1" applyBorder="1" applyAlignment="1">
      <alignment horizontal="center" vertical="center"/>
    </xf>
    <xf numFmtId="2" fontId="2" fillId="24" borderId="10" xfId="0" applyNumberFormat="1" applyFont="1" applyFill="1" applyBorder="1" applyAlignment="1">
      <alignment/>
    </xf>
    <xf numFmtId="4" fontId="2" fillId="25" borderId="10" xfId="0" applyNumberFormat="1" applyFont="1" applyFill="1" applyBorder="1" applyAlignment="1">
      <alignment horizontal="center" vertical="center"/>
    </xf>
    <xf numFmtId="4" fontId="2" fillId="24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Border="1" applyAlignment="1">
      <alignment horizontal="center" vertical="center"/>
    </xf>
    <xf numFmtId="164" fontId="2" fillId="25" borderId="10" xfId="0" applyNumberFormat="1" applyFont="1" applyFill="1" applyBorder="1" applyAlignment="1">
      <alignment horizontal="center" vertical="center"/>
    </xf>
    <xf numFmtId="164" fontId="2" fillId="24" borderId="10" xfId="0" applyNumberFormat="1" applyFont="1" applyFill="1" applyBorder="1" applyAlignment="1">
      <alignment horizontal="center" vertical="center"/>
    </xf>
    <xf numFmtId="2" fontId="2" fillId="25" borderId="10" xfId="0" applyNumberFormat="1" applyFont="1" applyFill="1" applyBorder="1" applyAlignment="1">
      <alignment/>
    </xf>
    <xf numFmtId="4" fontId="2" fillId="25" borderId="10" xfId="0" applyNumberFormat="1" applyFont="1" applyFill="1" applyBorder="1" applyAlignment="1">
      <alignment horizontal="center"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 wrapText="1"/>
    </xf>
    <xf numFmtId="0" fontId="2" fillId="24" borderId="10" xfId="0" applyFont="1" applyFill="1" applyBorder="1" applyAlignment="1">
      <alignment horizontal="center" vertical="center"/>
    </xf>
    <xf numFmtId="4" fontId="0" fillId="24" borderId="10" xfId="0" applyNumberFormat="1" applyFill="1" applyBorder="1" applyAlignment="1">
      <alignment/>
    </xf>
    <xf numFmtId="0" fontId="2" fillId="24" borderId="10" xfId="0" applyFont="1" applyFill="1" applyBorder="1" applyAlignment="1">
      <alignment/>
    </xf>
    <xf numFmtId="4" fontId="0" fillId="24" borderId="10" xfId="0" applyNumberFormat="1" applyFill="1" applyBorder="1" applyAlignment="1">
      <alignment horizontal="center"/>
    </xf>
    <xf numFmtId="4" fontId="0" fillId="0" borderId="0" xfId="0" applyNumberFormat="1" applyAlignment="1">
      <alignment/>
    </xf>
    <xf numFmtId="0" fontId="2" fillId="24" borderId="16" xfId="0" applyFont="1" applyFill="1" applyBorder="1" applyAlignment="1">
      <alignment horizontal="center" vertical="center"/>
    </xf>
    <xf numFmtId="0" fontId="2" fillId="24" borderId="19" xfId="0" applyFont="1" applyFill="1" applyBorder="1" applyAlignment="1">
      <alignment horizontal="center" vertical="center"/>
    </xf>
    <xf numFmtId="4" fontId="0" fillId="24" borderId="16" xfId="0" applyNumberFormat="1" applyFill="1" applyBorder="1" applyAlignment="1">
      <alignment/>
    </xf>
    <xf numFmtId="4" fontId="0" fillId="24" borderId="17" xfId="0" applyNumberFormat="1" applyFill="1" applyBorder="1" applyAlignment="1">
      <alignment/>
    </xf>
    <xf numFmtId="0" fontId="0" fillId="24" borderId="20" xfId="0" applyFill="1" applyBorder="1" applyAlignment="1">
      <alignment/>
    </xf>
    <xf numFmtId="0" fontId="2" fillId="24" borderId="18" xfId="0" applyFont="1" applyFill="1" applyBorder="1" applyAlignment="1">
      <alignment/>
    </xf>
    <xf numFmtId="4" fontId="2" fillId="24" borderId="18" xfId="0" applyNumberFormat="1" applyFont="1" applyFill="1" applyBorder="1" applyAlignment="1">
      <alignment/>
    </xf>
    <xf numFmtId="4" fontId="2" fillId="24" borderId="21" xfId="0" applyNumberFormat="1" applyFont="1" applyFill="1" applyBorder="1" applyAlignment="1">
      <alignment/>
    </xf>
    <xf numFmtId="164" fontId="7" fillId="0" borderId="15" xfId="0" applyNumberFormat="1" applyFont="1" applyBorder="1" applyAlignment="1">
      <alignment horizontal="center" vertical="center" wrapText="1"/>
    </xf>
    <xf numFmtId="3" fontId="7" fillId="0" borderId="22" xfId="0" applyNumberFormat="1" applyFont="1" applyBorder="1" applyAlignment="1">
      <alignment horizontal="center" vertical="center" wrapText="1"/>
    </xf>
    <xf numFmtId="3" fontId="2" fillId="0" borderId="17" xfId="0" applyNumberFormat="1" applyFont="1" applyBorder="1" applyAlignment="1">
      <alignment horizontal="center"/>
    </xf>
    <xf numFmtId="14" fontId="2" fillId="0" borderId="16" xfId="0" applyNumberFormat="1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8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center" vertical="center" wrapText="1"/>
    </xf>
    <xf numFmtId="3" fontId="2" fillId="0" borderId="21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0" fillId="0" borderId="0" xfId="0" applyFont="1" applyAlignment="1">
      <alignment vertical="center"/>
    </xf>
    <xf numFmtId="0" fontId="0" fillId="0" borderId="12" xfId="0" applyFont="1" applyBorder="1" applyAlignment="1">
      <alignment horizontal="left" vertical="center" wrapText="1"/>
    </xf>
    <xf numFmtId="164" fontId="5" fillId="0" borderId="13" xfId="0" applyNumberFormat="1" applyFont="1" applyBorder="1" applyAlignment="1">
      <alignment horizontal="center" vertical="center" wrapText="1"/>
    </xf>
    <xf numFmtId="4" fontId="0" fillId="0" borderId="10" xfId="0" applyNumberFormat="1" applyFont="1" applyFill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4" fontId="0" fillId="0" borderId="10" xfId="0" applyNumberFormat="1" applyFill="1" applyBorder="1" applyAlignment="1">
      <alignment/>
    </xf>
    <xf numFmtId="0" fontId="4" fillId="0" borderId="0" xfId="0" applyFont="1" applyAlignment="1">
      <alignment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3" fontId="7" fillId="0" borderId="17" xfId="0" applyNumberFormat="1" applyFont="1" applyBorder="1" applyAlignment="1">
      <alignment horizontal="center" vertical="center" wrapText="1"/>
    </xf>
    <xf numFmtId="171" fontId="7" fillId="0" borderId="11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29" fillId="0" borderId="0" xfId="0" applyFont="1" applyAlignment="1">
      <alignment/>
    </xf>
    <xf numFmtId="164" fontId="2" fillId="0" borderId="15" xfId="0" applyNumberFormat="1" applyFont="1" applyBorder="1" applyAlignment="1">
      <alignment horizontal="center" vertical="center" wrapText="1"/>
    </xf>
    <xf numFmtId="3" fontId="2" fillId="0" borderId="22" xfId="0" applyNumberFormat="1" applyFont="1" applyBorder="1" applyAlignment="1">
      <alignment horizontal="center" vertical="center" wrapText="1"/>
    </xf>
    <xf numFmtId="2" fontId="2" fillId="0" borderId="18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left" wrapText="1"/>
    </xf>
    <xf numFmtId="171" fontId="2" fillId="0" borderId="17" xfId="0" applyNumberFormat="1" applyFont="1" applyBorder="1" applyAlignment="1">
      <alignment horizontal="center" vertical="center"/>
    </xf>
    <xf numFmtId="171" fontId="2" fillId="0" borderId="17" xfId="0" applyNumberFormat="1" applyFont="1" applyBorder="1" applyAlignment="1">
      <alignment horizontal="center" vertical="center"/>
    </xf>
    <xf numFmtId="0" fontId="29" fillId="0" borderId="0" xfId="0" applyFont="1" applyAlignment="1">
      <alignment horizontal="lef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wrapText="1"/>
    </xf>
    <xf numFmtId="0" fontId="2" fillId="0" borderId="13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vertical="center"/>
    </xf>
    <xf numFmtId="164" fontId="2" fillId="0" borderId="10" xfId="0" applyNumberFormat="1" applyFont="1" applyBorder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0" fontId="6" fillId="24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3" fontId="0" fillId="25" borderId="10" xfId="0" applyNumberFormat="1" applyFont="1" applyFill="1" applyBorder="1" applyAlignment="1">
      <alignment horizontal="center" vertical="center"/>
    </xf>
    <xf numFmtId="4" fontId="2" fillId="24" borderId="10" xfId="0" applyNumberFormat="1" applyFont="1" applyFill="1" applyBorder="1" applyAlignment="1">
      <alignment horizontal="center" vertical="center"/>
    </xf>
    <xf numFmtId="164" fontId="2" fillId="25" borderId="10" xfId="0" applyNumberFormat="1" applyFont="1" applyFill="1" applyBorder="1" applyAlignment="1">
      <alignment vertical="center"/>
    </xf>
    <xf numFmtId="164" fontId="2" fillId="25" borderId="10" xfId="0" applyNumberFormat="1" applyFont="1" applyFill="1" applyBorder="1" applyAlignment="1">
      <alignment horizontal="center" vertical="center"/>
    </xf>
    <xf numFmtId="2" fontId="2" fillId="25" borderId="10" xfId="0" applyNumberFormat="1" applyFont="1" applyFill="1" applyBorder="1" applyAlignment="1">
      <alignment horizontal="center"/>
    </xf>
    <xf numFmtId="0" fontId="30" fillId="0" borderId="0" xfId="0" applyFont="1" applyAlignment="1">
      <alignment/>
    </xf>
    <xf numFmtId="0" fontId="0" fillId="0" borderId="10" xfId="0" applyFont="1" applyFill="1" applyBorder="1" applyAlignment="1">
      <alignment vertical="center" wrapText="1"/>
    </xf>
    <xf numFmtId="0" fontId="2" fillId="0" borderId="12" xfId="0" applyFont="1" applyBorder="1" applyAlignment="1">
      <alignment horizontal="left" vertical="center" wrapText="1"/>
    </xf>
    <xf numFmtId="0" fontId="0" fillId="0" borderId="10" xfId="0" applyFont="1" applyBorder="1" applyAlignment="1">
      <alignment vertical="center"/>
    </xf>
    <xf numFmtId="0" fontId="0" fillId="0" borderId="13" xfId="0" applyFont="1" applyBorder="1" applyAlignment="1">
      <alignment horizontal="left" vertical="center"/>
    </xf>
    <xf numFmtId="0" fontId="0" fillId="0" borderId="24" xfId="0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indent="1"/>
    </xf>
    <xf numFmtId="0" fontId="2" fillId="0" borderId="0" xfId="0" applyFont="1" applyAlignment="1">
      <alignment horizontal="justify" vertical="center" wrapText="1" shrinkToFit="1"/>
    </xf>
    <xf numFmtId="0" fontId="0" fillId="0" borderId="1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0" fillId="0" borderId="25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/>
    </xf>
    <xf numFmtId="0" fontId="2" fillId="0" borderId="0" xfId="0" applyFont="1" applyAlignment="1">
      <alignment horizontal="left" wrapText="1"/>
    </xf>
    <xf numFmtId="0" fontId="0" fillId="0" borderId="10" xfId="0" applyFont="1" applyBorder="1" applyAlignment="1">
      <alignment horizontal="left" vertical="center" wrapText="1" indent="1"/>
    </xf>
    <xf numFmtId="0" fontId="0" fillId="0" borderId="10" xfId="0" applyFont="1" applyBorder="1" applyAlignment="1">
      <alignment horizontal="left" vertical="center" indent="1"/>
    </xf>
    <xf numFmtId="0" fontId="2" fillId="0" borderId="10" xfId="0" applyFont="1" applyBorder="1" applyAlignment="1">
      <alignment horizontal="left" vertical="center" wrapText="1" indent="1"/>
    </xf>
    <xf numFmtId="0" fontId="1" fillId="0" borderId="10" xfId="0" applyFont="1" applyBorder="1" applyAlignment="1">
      <alignment horizontal="left" indent="1"/>
    </xf>
    <xf numFmtId="0" fontId="0" fillId="0" borderId="13" xfId="0" applyFont="1" applyBorder="1" applyAlignment="1">
      <alignment horizontal="left" vertical="center" wrapText="1"/>
    </xf>
    <xf numFmtId="0" fontId="0" fillId="0" borderId="24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wrapText="1" indent="1"/>
    </xf>
    <xf numFmtId="0" fontId="0" fillId="0" borderId="10" xfId="0" applyFont="1" applyBorder="1" applyAlignment="1">
      <alignment horizontal="left" indent="1"/>
    </xf>
    <xf numFmtId="0" fontId="0" fillId="0" borderId="10" xfId="0" applyFont="1" applyFill="1" applyBorder="1" applyAlignment="1">
      <alignment horizontal="left" vertical="center" wrapText="1" indent="1"/>
    </xf>
    <xf numFmtId="0" fontId="0" fillId="24" borderId="10" xfId="0" applyFont="1" applyFill="1" applyBorder="1" applyAlignment="1">
      <alignment horizontal="left" vertical="center" wrapText="1" indent="1"/>
    </xf>
    <xf numFmtId="0" fontId="0" fillId="0" borderId="13" xfId="0" applyBorder="1" applyAlignment="1">
      <alignment horizontal="left" vertical="center" wrapText="1" indent="1"/>
    </xf>
    <xf numFmtId="0" fontId="0" fillId="0" borderId="24" xfId="0" applyBorder="1" applyAlignment="1">
      <alignment horizontal="left" vertical="center" wrapText="1" indent="1"/>
    </xf>
    <xf numFmtId="0" fontId="0" fillId="0" borderId="12" xfId="0" applyBorder="1" applyAlignment="1">
      <alignment horizontal="left" vertical="center" wrapText="1" indent="1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left" vertical="center" wrapText="1" indent="1"/>
    </xf>
    <xf numFmtId="0" fontId="2" fillId="0" borderId="1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horizontal="justify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indent="1"/>
    </xf>
    <xf numFmtId="0" fontId="0" fillId="0" borderId="13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  <xf numFmtId="0" fontId="0" fillId="24" borderId="10" xfId="0" applyFont="1" applyFill="1" applyBorder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 vertical="center" wrapText="1"/>
    </xf>
    <xf numFmtId="164" fontId="2" fillId="0" borderId="24" xfId="0" applyNumberFormat="1" applyFont="1" applyBorder="1" applyAlignment="1">
      <alignment horizontal="center" vertical="center" wrapText="1"/>
    </xf>
    <xf numFmtId="164" fontId="2" fillId="0" borderId="12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 wrapText="1"/>
    </xf>
    <xf numFmtId="0" fontId="2" fillId="0" borderId="30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9" fontId="2" fillId="0" borderId="32" xfId="0" applyNumberFormat="1" applyFont="1" applyBorder="1" applyAlignment="1">
      <alignment horizontal="left" wrapText="1"/>
    </xf>
    <xf numFmtId="0" fontId="2" fillId="0" borderId="29" xfId="0" applyFont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7" fillId="0" borderId="32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0" fontId="0" fillId="0" borderId="0" xfId="0" applyFont="1" applyAlignment="1">
      <alignment horizontal="right" vertical="center" wrapText="1"/>
    </xf>
    <xf numFmtId="0" fontId="28" fillId="0" borderId="0" xfId="0" applyFont="1" applyAlignment="1">
      <alignment horizontal="center" vertical="center" wrapText="1"/>
    </xf>
    <xf numFmtId="49" fontId="0" fillId="0" borderId="0" xfId="0" applyNumberFormat="1" applyFont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0" fillId="0" borderId="13" xfId="0" applyBorder="1" applyAlignment="1">
      <alignment horizontal="left" vertical="center" wrapText="1"/>
    </xf>
    <xf numFmtId="0" fontId="2" fillId="24" borderId="10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 wrapText="1"/>
    </xf>
    <xf numFmtId="0" fontId="2" fillId="24" borderId="33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2" fillId="24" borderId="33" xfId="0" applyFont="1" applyFill="1" applyBorder="1" applyAlignment="1">
      <alignment horizontal="center" vertical="center"/>
    </xf>
    <xf numFmtId="0" fontId="2" fillId="24" borderId="11" xfId="0" applyFont="1" applyFill="1" applyBorder="1" applyAlignment="1">
      <alignment horizontal="center" vertical="center"/>
    </xf>
    <xf numFmtId="0" fontId="4" fillId="24" borderId="0" xfId="0" applyFont="1" applyFill="1" applyBorder="1" applyAlignment="1">
      <alignment horizontal="center" vertical="center" wrapText="1"/>
    </xf>
    <xf numFmtId="0" fontId="2" fillId="24" borderId="14" xfId="0" applyFont="1" applyFill="1" applyBorder="1" applyAlignment="1">
      <alignment horizontal="center" vertical="center" wrapText="1"/>
    </xf>
    <xf numFmtId="0" fontId="2" fillId="24" borderId="16" xfId="0" applyFont="1" applyFill="1" applyBorder="1" applyAlignment="1">
      <alignment horizontal="center" vertical="center"/>
    </xf>
    <xf numFmtId="0" fontId="2" fillId="24" borderId="15" xfId="0" applyFont="1" applyFill="1" applyBorder="1" applyAlignment="1">
      <alignment horizontal="center" vertical="center"/>
    </xf>
    <xf numFmtId="0" fontId="2" fillId="24" borderId="15" xfId="0" applyFont="1" applyFill="1" applyBorder="1" applyAlignment="1">
      <alignment horizontal="center"/>
    </xf>
    <xf numFmtId="0" fontId="2" fillId="24" borderId="34" xfId="0" applyFont="1" applyFill="1" applyBorder="1" applyAlignment="1">
      <alignment horizontal="center" vertical="center" wrapText="1"/>
    </xf>
    <xf numFmtId="0" fontId="2" fillId="24" borderId="35" xfId="0" applyFont="1" applyFill="1" applyBorder="1" applyAlignment="1">
      <alignment horizontal="center" vertical="center"/>
    </xf>
    <xf numFmtId="0" fontId="2" fillId="24" borderId="36" xfId="0" applyFont="1" applyFill="1" applyBorder="1" applyAlignment="1">
      <alignment horizontal="center" vertical="center" wrapText="1"/>
    </xf>
    <xf numFmtId="0" fontId="2" fillId="24" borderId="37" xfId="0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center" vertical="center"/>
    </xf>
    <xf numFmtId="0" fontId="2" fillId="24" borderId="24" xfId="0" applyFont="1" applyFill="1" applyBorder="1" applyAlignment="1">
      <alignment horizontal="center" vertical="center"/>
    </xf>
    <xf numFmtId="0" fontId="2" fillId="24" borderId="12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wrapText="1" shrinkToFit="1"/>
    </xf>
    <xf numFmtId="0" fontId="1" fillId="0" borderId="0" xfId="0" applyFont="1" applyAlignment="1">
      <alignment horizontal="justify" wrapText="1"/>
    </xf>
    <xf numFmtId="0" fontId="0" fillId="0" borderId="0" xfId="0" applyAlignment="1">
      <alignment/>
    </xf>
    <xf numFmtId="0" fontId="1" fillId="0" borderId="0" xfId="0" applyFont="1" applyAlignment="1">
      <alignment horizontal="justify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4"/>
  <sheetViews>
    <sheetView zoomScalePageLayoutView="0" workbookViewId="0" topLeftCell="A17">
      <selection activeCell="E28" sqref="E28"/>
    </sheetView>
  </sheetViews>
  <sheetFormatPr defaultColWidth="9.00390625" defaultRowHeight="15.75"/>
  <cols>
    <col min="1" max="1" width="4.875" style="0" customWidth="1"/>
    <col min="2" max="2" width="57.50390625" style="0" customWidth="1"/>
    <col min="3" max="3" width="7.00390625" style="0" customWidth="1"/>
    <col min="4" max="4" width="13.375" style="0" customWidth="1"/>
    <col min="5" max="5" width="15.25390625" style="0" customWidth="1"/>
    <col min="6" max="6" width="9.625" style="0" bestFit="1" customWidth="1"/>
  </cols>
  <sheetData>
    <row r="1" spans="1:4" ht="104.25" customHeight="1">
      <c r="A1" s="196" t="s">
        <v>87</v>
      </c>
      <c r="B1" s="197"/>
      <c r="C1" s="197"/>
      <c r="D1" s="197"/>
    </row>
    <row r="2" spans="1:5" ht="87.75" customHeight="1">
      <c r="A2" s="198" t="s">
        <v>88</v>
      </c>
      <c r="B2" s="199"/>
      <c r="C2" s="199"/>
      <c r="D2" s="199"/>
      <c r="E2" t="s">
        <v>80</v>
      </c>
    </row>
    <row r="3" spans="1:5" ht="39.75" customHeight="1">
      <c r="A3" s="22" t="s">
        <v>89</v>
      </c>
      <c r="B3" s="22" t="s">
        <v>90</v>
      </c>
      <c r="C3" s="11" t="s">
        <v>91</v>
      </c>
      <c r="D3" s="50" t="s">
        <v>92</v>
      </c>
      <c r="E3" s="51" t="s">
        <v>93</v>
      </c>
    </row>
    <row r="4" spans="1:5" ht="18.75" customHeight="1">
      <c r="A4" s="52" t="s">
        <v>94</v>
      </c>
      <c r="B4" s="53" t="s">
        <v>95</v>
      </c>
      <c r="C4" s="11" t="s">
        <v>96</v>
      </c>
      <c r="D4" s="54">
        <v>5</v>
      </c>
      <c r="E4" s="54">
        <v>5</v>
      </c>
    </row>
    <row r="5" spans="1:5" ht="15.75">
      <c r="A5" s="55" t="s">
        <v>97</v>
      </c>
      <c r="B5" s="56" t="s">
        <v>98</v>
      </c>
      <c r="C5" s="57" t="s">
        <v>99</v>
      </c>
      <c r="D5" s="58">
        <v>2688.2</v>
      </c>
      <c r="E5" s="58">
        <v>2688.2</v>
      </c>
    </row>
    <row r="6" spans="1:5" ht="14.25" customHeight="1">
      <c r="A6" s="55" t="s">
        <v>100</v>
      </c>
      <c r="B6" s="56" t="s">
        <v>101</v>
      </c>
      <c r="C6" s="57" t="s">
        <v>96</v>
      </c>
      <c r="D6" s="59">
        <v>60</v>
      </c>
      <c r="E6" s="59">
        <v>60</v>
      </c>
    </row>
    <row r="7" spans="1:5" ht="15.75" hidden="1">
      <c r="A7" s="55" t="s">
        <v>102</v>
      </c>
      <c r="B7" s="56" t="s">
        <v>103</v>
      </c>
      <c r="C7" s="57" t="s">
        <v>104</v>
      </c>
      <c r="D7" s="58"/>
      <c r="E7" s="58"/>
    </row>
    <row r="8" spans="1:5" ht="15.75" hidden="1">
      <c r="A8" s="60"/>
      <c r="B8" s="34" t="s">
        <v>105</v>
      </c>
      <c r="C8" s="49"/>
      <c r="D8" s="58"/>
      <c r="E8" s="58"/>
    </row>
    <row r="9" spans="1:5" ht="15.75" hidden="1">
      <c r="A9" s="60"/>
      <c r="B9" s="34" t="s">
        <v>106</v>
      </c>
      <c r="C9" s="49" t="s">
        <v>104</v>
      </c>
      <c r="D9" s="58"/>
      <c r="E9" s="58"/>
    </row>
    <row r="10" spans="1:5" ht="15.75" hidden="1">
      <c r="A10" s="60"/>
      <c r="B10" s="34" t="s">
        <v>107</v>
      </c>
      <c r="C10" s="49" t="s">
        <v>104</v>
      </c>
      <c r="D10" s="58"/>
      <c r="E10" s="58"/>
    </row>
    <row r="11" spans="1:5" ht="16.5" customHeight="1">
      <c r="A11" s="55" t="s">
        <v>102</v>
      </c>
      <c r="B11" s="56" t="s">
        <v>108</v>
      </c>
      <c r="C11" s="49"/>
      <c r="D11" s="58"/>
      <c r="E11" s="58"/>
    </row>
    <row r="12" spans="1:5" ht="15.75">
      <c r="A12" s="61" t="s">
        <v>109</v>
      </c>
      <c r="B12" s="56" t="s">
        <v>110</v>
      </c>
      <c r="C12" s="49"/>
      <c r="D12" s="58"/>
      <c r="E12" s="58"/>
    </row>
    <row r="13" spans="1:5" ht="17.25" customHeight="1">
      <c r="A13" s="62"/>
      <c r="B13" s="34" t="s">
        <v>111</v>
      </c>
      <c r="C13" s="49" t="s">
        <v>112</v>
      </c>
      <c r="D13" s="58">
        <v>188514.37</v>
      </c>
      <c r="E13" s="58">
        <v>188514.37</v>
      </c>
    </row>
    <row r="14" spans="1:5" ht="16.5" customHeight="1">
      <c r="A14" s="62"/>
      <c r="B14" s="34" t="s">
        <v>113</v>
      </c>
      <c r="C14" s="49" t="s">
        <v>112</v>
      </c>
      <c r="D14" s="58">
        <v>180206.79</v>
      </c>
      <c r="E14" s="58">
        <v>180206.79</v>
      </c>
    </row>
    <row r="15" spans="1:5" ht="15.75">
      <c r="A15" s="62"/>
      <c r="B15" s="56" t="s">
        <v>114</v>
      </c>
      <c r="C15" s="57" t="s">
        <v>112</v>
      </c>
      <c r="D15" s="63">
        <f>D13-D14</f>
        <v>8307.579999999987</v>
      </c>
      <c r="E15" s="63">
        <f>E13-E14</f>
        <v>8307.579999999987</v>
      </c>
    </row>
    <row r="16" spans="1:5" ht="18" customHeight="1">
      <c r="A16" s="61" t="s">
        <v>115</v>
      </c>
      <c r="B16" s="56" t="s">
        <v>116</v>
      </c>
      <c r="C16" s="49"/>
      <c r="D16" s="58"/>
      <c r="E16" s="58"/>
    </row>
    <row r="17" spans="1:5" ht="15.75">
      <c r="A17" s="62"/>
      <c r="B17" s="34" t="s">
        <v>111</v>
      </c>
      <c r="C17" s="49" t="s">
        <v>112</v>
      </c>
      <c r="D17" s="58">
        <v>14975.85</v>
      </c>
      <c r="E17" s="58"/>
    </row>
    <row r="18" spans="1:5" ht="15.75" customHeight="1">
      <c r="A18" s="62"/>
      <c r="B18" s="34" t="s">
        <v>113</v>
      </c>
      <c r="C18" s="49" t="s">
        <v>112</v>
      </c>
      <c r="D18" s="58">
        <v>14362.84</v>
      </c>
      <c r="E18" s="58"/>
    </row>
    <row r="19" spans="1:5" ht="15.75" customHeight="1">
      <c r="A19" s="62"/>
      <c r="B19" s="56" t="s">
        <v>114</v>
      </c>
      <c r="C19" s="57" t="s">
        <v>112</v>
      </c>
      <c r="D19" s="63">
        <f>D17-D18</f>
        <v>613.0100000000002</v>
      </c>
      <c r="E19" s="63">
        <f>E17-E18</f>
        <v>0</v>
      </c>
    </row>
    <row r="20" spans="1:5" ht="15" customHeight="1">
      <c r="A20" s="62"/>
      <c r="B20" s="56" t="s">
        <v>117</v>
      </c>
      <c r="C20" s="49" t="s">
        <v>112</v>
      </c>
      <c r="D20" s="63">
        <f>D13+D17</f>
        <v>203490.22</v>
      </c>
      <c r="E20" s="63">
        <f>E13+E17</f>
        <v>188514.37</v>
      </c>
    </row>
    <row r="21" spans="1:5" ht="15.75">
      <c r="A21" s="62"/>
      <c r="B21" s="56" t="s">
        <v>118</v>
      </c>
      <c r="C21" s="49" t="s">
        <v>112</v>
      </c>
      <c r="D21" s="63">
        <f>D15+D19</f>
        <v>8920.589999999987</v>
      </c>
      <c r="E21" s="63">
        <f>E15+E19</f>
        <v>8307.579999999987</v>
      </c>
    </row>
    <row r="22" spans="1:5" ht="15.75" customHeight="1">
      <c r="A22" s="55" t="s">
        <v>119</v>
      </c>
      <c r="B22" s="64" t="s">
        <v>120</v>
      </c>
      <c r="C22" s="49"/>
      <c r="D22" s="58"/>
      <c r="E22" s="58"/>
    </row>
    <row r="23" spans="1:5" ht="94.5">
      <c r="A23" s="65" t="s">
        <v>121</v>
      </c>
      <c r="B23" s="66" t="s">
        <v>122</v>
      </c>
      <c r="C23" s="57" t="s">
        <v>112</v>
      </c>
      <c r="D23" s="63">
        <f>D13*0.11</f>
        <v>20736.5807</v>
      </c>
      <c r="E23" s="63">
        <f>E13*0.11</f>
        <v>20736.5807</v>
      </c>
    </row>
    <row r="24" spans="1:5" ht="94.5" customHeight="1">
      <c r="A24" s="65" t="s">
        <v>123</v>
      </c>
      <c r="B24" s="66" t="s">
        <v>124</v>
      </c>
      <c r="C24" s="57" t="s">
        <v>112</v>
      </c>
      <c r="D24" s="63">
        <f>D13*0.7</f>
        <v>131960.05899999998</v>
      </c>
      <c r="E24" s="63">
        <f>E13*0.7</f>
        <v>131960.05899999998</v>
      </c>
    </row>
    <row r="25" spans="1:5" ht="21" customHeight="1">
      <c r="A25" s="65" t="s">
        <v>125</v>
      </c>
      <c r="B25" s="56" t="s">
        <v>126</v>
      </c>
      <c r="C25" s="57" t="s">
        <v>112</v>
      </c>
      <c r="D25" s="67">
        <v>58280</v>
      </c>
      <c r="E25" s="67">
        <v>58280</v>
      </c>
    </row>
    <row r="26" spans="1:5" ht="17.25" customHeight="1">
      <c r="A26" s="62"/>
      <c r="B26" s="56" t="s">
        <v>127</v>
      </c>
      <c r="C26" s="57" t="s">
        <v>112</v>
      </c>
      <c r="D26" s="63">
        <f>D23+D24+D25</f>
        <v>210976.63969999997</v>
      </c>
      <c r="E26" s="63">
        <f>E23+E24+E25</f>
        <v>210976.63969999997</v>
      </c>
    </row>
    <row r="27" spans="1:6" ht="17.25" customHeight="1">
      <c r="A27" s="61" t="s">
        <v>62</v>
      </c>
      <c r="B27" s="56" t="s">
        <v>128</v>
      </c>
      <c r="C27" s="49" t="s">
        <v>112</v>
      </c>
      <c r="D27" s="58">
        <f>D20-D26</f>
        <v>-7486.419699999969</v>
      </c>
      <c r="E27" s="58">
        <f>E20-E26</f>
        <v>-22462.269699999975</v>
      </c>
      <c r="F27" s="120"/>
    </row>
    <row r="28" spans="1:5" ht="31.5">
      <c r="A28" s="65" t="s">
        <v>129</v>
      </c>
      <c r="B28" s="66" t="s">
        <v>130</v>
      </c>
      <c r="C28" s="49" t="s">
        <v>112</v>
      </c>
      <c r="D28" s="58">
        <f>D27-D21</f>
        <v>-16407.00969999996</v>
      </c>
      <c r="E28" s="58">
        <f>E27-E21</f>
        <v>-30769.849699999962</v>
      </c>
    </row>
    <row r="29" spans="1:4" ht="15.75">
      <c r="A29" s="68"/>
      <c r="B29" s="69"/>
      <c r="C29" s="70"/>
      <c r="D29" s="70"/>
    </row>
    <row r="30" spans="2:4" ht="15.75">
      <c r="B30" s="71" t="s">
        <v>131</v>
      </c>
      <c r="C30" s="71"/>
      <c r="D30" s="71"/>
    </row>
    <row r="31" spans="2:4" ht="15.75">
      <c r="B31" s="71"/>
      <c r="C31" s="71"/>
      <c r="D31" s="71"/>
    </row>
    <row r="32" spans="2:4" ht="15.75">
      <c r="B32" s="72" t="s">
        <v>79</v>
      </c>
      <c r="C32" s="72"/>
      <c r="D32" s="72"/>
    </row>
    <row r="33" spans="2:4" ht="15.75">
      <c r="B33" s="200" t="s">
        <v>132</v>
      </c>
      <c r="C33" s="200"/>
      <c r="D33" s="72"/>
    </row>
    <row r="34" spans="2:4" ht="17.25" customHeight="1">
      <c r="B34" s="201" t="s">
        <v>133</v>
      </c>
      <c r="C34" s="201"/>
      <c r="D34" s="201"/>
    </row>
  </sheetData>
  <sheetProtection/>
  <mergeCells count="4">
    <mergeCell ref="A1:D1"/>
    <mergeCell ref="A2:D2"/>
    <mergeCell ref="B33:C33"/>
    <mergeCell ref="B34:D34"/>
  </mergeCells>
  <printOptions/>
  <pageMargins left="0.75" right="0.75" top="1" bottom="1" header="0.5" footer="0.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0"/>
  <sheetViews>
    <sheetView zoomScalePageLayoutView="0" workbookViewId="0" topLeftCell="A4">
      <selection activeCell="I25" sqref="I25"/>
    </sheetView>
  </sheetViews>
  <sheetFormatPr defaultColWidth="9.00390625" defaultRowHeight="15.75"/>
  <cols>
    <col min="1" max="1" width="11.75390625" style="114" bestFit="1" customWidth="1"/>
    <col min="2" max="2" width="12.00390625" style="114" bestFit="1" customWidth="1"/>
    <col min="3" max="3" width="12.625" style="114" bestFit="1" customWidth="1"/>
    <col min="4" max="4" width="10.125" style="114" bestFit="1" customWidth="1"/>
    <col min="5" max="5" width="12.75390625" style="114" bestFit="1" customWidth="1"/>
    <col min="6" max="6" width="12.625" style="114" bestFit="1" customWidth="1"/>
    <col min="7" max="7" width="10.00390625" style="114" bestFit="1" customWidth="1"/>
    <col min="8" max="8" width="12.625" style="114" bestFit="1" customWidth="1"/>
    <col min="9" max="9" width="11.125" style="114" bestFit="1" customWidth="1"/>
    <col min="10" max="10" width="7.25390625" style="114" bestFit="1" customWidth="1"/>
    <col min="11" max="11" width="9.125" style="114" bestFit="1" customWidth="1"/>
    <col min="12" max="12" width="11.875" style="114" bestFit="1" customWidth="1"/>
    <col min="13" max="13" width="12.625" style="114" bestFit="1" customWidth="1"/>
    <col min="14" max="14" width="11.00390625" style="114" bestFit="1" customWidth="1"/>
    <col min="15" max="15" width="11.125" style="114" bestFit="1" customWidth="1"/>
    <col min="16" max="17" width="11.00390625" style="114" bestFit="1" customWidth="1"/>
    <col min="18" max="18" width="12.625" style="114" bestFit="1" customWidth="1"/>
    <col min="19" max="19" width="11.75390625" style="114" bestFit="1" customWidth="1"/>
    <col min="20" max="16384" width="9.00390625" style="114" customWidth="1"/>
  </cols>
  <sheetData>
    <row r="1" spans="1:19" ht="132" customHeight="1" thickBot="1">
      <c r="A1" s="274" t="s">
        <v>196</v>
      </c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4"/>
      <c r="P1" s="274"/>
      <c r="Q1" s="274"/>
      <c r="R1" s="274"/>
      <c r="S1" s="274"/>
    </row>
    <row r="2" spans="1:19" ht="15.75" customHeight="1">
      <c r="A2" s="275" t="s">
        <v>165</v>
      </c>
      <c r="B2" s="277" t="s">
        <v>166</v>
      </c>
      <c r="C2" s="277" t="s">
        <v>167</v>
      </c>
      <c r="D2" s="277"/>
      <c r="E2" s="277"/>
      <c r="F2" s="277"/>
      <c r="G2" s="277"/>
      <c r="H2" s="277"/>
      <c r="I2" s="277"/>
      <c r="J2" s="278" t="s">
        <v>168</v>
      </c>
      <c r="K2" s="278"/>
      <c r="L2" s="278"/>
      <c r="M2" s="279" t="s">
        <v>169</v>
      </c>
      <c r="N2" s="277" t="s">
        <v>170</v>
      </c>
      <c r="O2" s="277"/>
      <c r="P2" s="277"/>
      <c r="Q2" s="277"/>
      <c r="R2" s="277"/>
      <c r="S2" s="281" t="s">
        <v>209</v>
      </c>
    </row>
    <row r="3" spans="1:19" ht="15.75">
      <c r="A3" s="276"/>
      <c r="B3" s="268"/>
      <c r="C3" s="283" t="s">
        <v>171</v>
      </c>
      <c r="D3" s="284"/>
      <c r="E3" s="285"/>
      <c r="F3" s="283" t="s">
        <v>172</v>
      </c>
      <c r="G3" s="284"/>
      <c r="H3" s="285"/>
      <c r="I3" s="269" t="s">
        <v>173</v>
      </c>
      <c r="J3" s="270" t="s">
        <v>174</v>
      </c>
      <c r="K3" s="272" t="s">
        <v>175</v>
      </c>
      <c r="L3" s="270" t="s">
        <v>176</v>
      </c>
      <c r="M3" s="280"/>
      <c r="N3" s="269" t="s">
        <v>177</v>
      </c>
      <c r="O3" s="268" t="s">
        <v>178</v>
      </c>
      <c r="P3" s="268" t="s">
        <v>179</v>
      </c>
      <c r="Q3" s="268" t="s">
        <v>180</v>
      </c>
      <c r="R3" s="268" t="s">
        <v>181</v>
      </c>
      <c r="S3" s="282"/>
    </row>
    <row r="4" spans="1:19" ht="47.25" customHeight="1">
      <c r="A4" s="276"/>
      <c r="B4" s="268"/>
      <c r="C4" s="115" t="s">
        <v>182</v>
      </c>
      <c r="D4" s="116" t="s">
        <v>180</v>
      </c>
      <c r="E4" s="116" t="s">
        <v>181</v>
      </c>
      <c r="F4" s="115" t="s">
        <v>182</v>
      </c>
      <c r="G4" s="116" t="s">
        <v>180</v>
      </c>
      <c r="H4" s="116" t="s">
        <v>181</v>
      </c>
      <c r="I4" s="269"/>
      <c r="J4" s="271"/>
      <c r="K4" s="273"/>
      <c r="L4" s="271"/>
      <c r="M4" s="273"/>
      <c r="N4" s="268"/>
      <c r="O4" s="268"/>
      <c r="P4" s="268"/>
      <c r="Q4" s="268"/>
      <c r="R4" s="268"/>
      <c r="S4" s="282"/>
    </row>
    <row r="5" spans="1:19" ht="31.5">
      <c r="A5" s="121">
        <v>1</v>
      </c>
      <c r="B5" s="116">
        <v>2</v>
      </c>
      <c r="C5" s="115">
        <v>3</v>
      </c>
      <c r="D5" s="116">
        <v>4</v>
      </c>
      <c r="E5" s="116" t="s">
        <v>183</v>
      </c>
      <c r="F5" s="115">
        <v>6</v>
      </c>
      <c r="G5" s="116">
        <v>7</v>
      </c>
      <c r="H5" s="116" t="s">
        <v>184</v>
      </c>
      <c r="I5" s="115" t="s">
        <v>185</v>
      </c>
      <c r="J5" s="116">
        <v>10</v>
      </c>
      <c r="K5" s="116">
        <v>11</v>
      </c>
      <c r="L5" s="115">
        <v>12</v>
      </c>
      <c r="M5" s="115" t="s">
        <v>186</v>
      </c>
      <c r="N5" s="116">
        <v>14</v>
      </c>
      <c r="O5" s="115">
        <v>15</v>
      </c>
      <c r="P5" s="116">
        <v>16</v>
      </c>
      <c r="Q5" s="116">
        <v>17</v>
      </c>
      <c r="R5" s="115" t="s">
        <v>187</v>
      </c>
      <c r="S5" s="122" t="s">
        <v>188</v>
      </c>
    </row>
    <row r="6" spans="1:19" ht="15.75">
      <c r="A6" s="123"/>
      <c r="B6" s="118" t="s">
        <v>189</v>
      </c>
      <c r="C6" s="117">
        <f>'2008'!D13</f>
        <v>188514.37</v>
      </c>
      <c r="D6" s="117">
        <f>'2008'!D17</f>
        <v>14975.85</v>
      </c>
      <c r="E6" s="117">
        <f>SUM(C6:D6)</f>
        <v>203490.22</v>
      </c>
      <c r="F6" s="117">
        <f>'2008'!D14</f>
        <v>180206.79</v>
      </c>
      <c r="G6" s="117">
        <f>'2008'!D18</f>
        <v>14362.84</v>
      </c>
      <c r="H6" s="117">
        <f>SUM(F6:G6)</f>
        <v>194569.63</v>
      </c>
      <c r="I6" s="119">
        <f>E6-H6</f>
        <v>8920.589999999997</v>
      </c>
      <c r="J6" s="117">
        <v>0</v>
      </c>
      <c r="K6" s="117">
        <v>0</v>
      </c>
      <c r="L6" s="117">
        <v>0</v>
      </c>
      <c r="M6" s="117">
        <f>H6+J6+K6+L6</f>
        <v>194569.63</v>
      </c>
      <c r="N6" s="117">
        <f>'2008'!D23</f>
        <v>20736.5807</v>
      </c>
      <c r="O6" s="117">
        <f>'2008'!D24</f>
        <v>131960.05899999998</v>
      </c>
      <c r="P6" s="117">
        <f>'2008'!D25</f>
        <v>58280</v>
      </c>
      <c r="Q6" s="119">
        <v>0</v>
      </c>
      <c r="R6" s="117">
        <f>SUM(N6:Q6)</f>
        <v>210976.63969999997</v>
      </c>
      <c r="S6" s="124">
        <f>M6-R6</f>
        <v>-16407.009699999966</v>
      </c>
    </row>
    <row r="7" spans="1:19" ht="15.75">
      <c r="A7" s="123">
        <f>S6</f>
        <v>-16407.009699999966</v>
      </c>
      <c r="B7" s="118" t="s">
        <v>190</v>
      </c>
      <c r="C7" s="117">
        <f>'отчет 2009'!H10</f>
        <v>283189.52</v>
      </c>
      <c r="D7" s="117">
        <v>21501</v>
      </c>
      <c r="E7" s="117">
        <f>SUM(C7:D7)</f>
        <v>304690.52</v>
      </c>
      <c r="F7" s="117">
        <f>'отчет 2009'!H13</f>
        <v>280505.03</v>
      </c>
      <c r="G7" s="117">
        <v>20765.36</v>
      </c>
      <c r="H7" s="117">
        <f>SUM(F7:G7)</f>
        <v>301270.39</v>
      </c>
      <c r="I7" s="119">
        <f>E7-H7</f>
        <v>3420.1300000000047</v>
      </c>
      <c r="J7" s="117">
        <v>0</v>
      </c>
      <c r="K7" s="117">
        <v>0</v>
      </c>
      <c r="L7" s="117">
        <v>0</v>
      </c>
      <c r="M7" s="117">
        <f>H7+J7+K7+L7</f>
        <v>301270.39</v>
      </c>
      <c r="N7" s="117">
        <f>'отчет 2009'!H31</f>
        <v>28387.39</v>
      </c>
      <c r="O7" s="117">
        <f>'отчет 2009'!H32-'отчет 2009'!H31</f>
        <v>226131.38</v>
      </c>
      <c r="P7" s="117">
        <f>'отчет 2009'!H33</f>
        <v>165000</v>
      </c>
      <c r="Q7" s="119">
        <v>498547</v>
      </c>
      <c r="R7" s="117">
        <f>SUM(N7:Q7)</f>
        <v>918065.77</v>
      </c>
      <c r="S7" s="124">
        <f>M7-R7</f>
        <v>-616795.38</v>
      </c>
    </row>
    <row r="8" spans="1:19" ht="15.75">
      <c r="A8" s="123">
        <f>A7+S7</f>
        <v>-633202.3896999999</v>
      </c>
      <c r="B8" s="118" t="s">
        <v>191</v>
      </c>
      <c r="C8" s="117">
        <v>284805.24</v>
      </c>
      <c r="D8" s="117">
        <v>21312</v>
      </c>
      <c r="E8" s="117">
        <f>SUM(C8:D8)</f>
        <v>306117.24</v>
      </c>
      <c r="F8" s="117">
        <f>'отчет 2010'!H10</f>
        <v>281120.7</v>
      </c>
      <c r="G8" s="117">
        <f>'отчет 2010'!H11</f>
        <v>20486.79</v>
      </c>
      <c r="H8" s="117">
        <f>SUM(F8:G8)</f>
        <v>301607.49</v>
      </c>
      <c r="I8" s="119">
        <f>E8-H8</f>
        <v>4509.75</v>
      </c>
      <c r="J8" s="117">
        <v>0</v>
      </c>
      <c r="K8" s="117">
        <v>0</v>
      </c>
      <c r="L8" s="117">
        <v>0</v>
      </c>
      <c r="M8" s="117">
        <f>H8+J8+K8+L8</f>
        <v>301607.49</v>
      </c>
      <c r="N8" s="117">
        <f>'отчет 2010'!J29</f>
        <v>29677.73</v>
      </c>
      <c r="O8" s="117">
        <f>'отчет 2010'!J34-'отчет 2010'!J29</f>
        <v>226143.31</v>
      </c>
      <c r="P8" s="117">
        <f>'отчет 2010'!H35</f>
        <v>760</v>
      </c>
      <c r="Q8" s="119">
        <f>'отчет 2010'!H37</f>
        <v>0</v>
      </c>
      <c r="R8" s="117">
        <f>SUM(N8:Q8)</f>
        <v>256581.04</v>
      </c>
      <c r="S8" s="124">
        <f>M8-R8</f>
        <v>45026.44999999998</v>
      </c>
    </row>
    <row r="9" spans="1:19" ht="15.75">
      <c r="A9" s="123">
        <f>A8+S8</f>
        <v>-588175.9397</v>
      </c>
      <c r="B9" s="118" t="s">
        <v>192</v>
      </c>
      <c r="C9" s="117">
        <v>327417.46</v>
      </c>
      <c r="D9" s="117">
        <v>24540.31</v>
      </c>
      <c r="E9" s="117">
        <f>SUM(C9:D9)</f>
        <v>351957.77</v>
      </c>
      <c r="F9" s="117">
        <f>'отчет 0211'!H10</f>
        <v>303460.97</v>
      </c>
      <c r="G9" s="117">
        <f>'отчет 0211'!H11</f>
        <v>23267.41</v>
      </c>
      <c r="H9" s="117">
        <f>SUM(F9:G9)</f>
        <v>326728.37999999995</v>
      </c>
      <c r="I9" s="119">
        <f>E9-H9</f>
        <v>25229.390000000072</v>
      </c>
      <c r="J9" s="117">
        <f>'отчет 0211'!I12</f>
        <v>0</v>
      </c>
      <c r="K9" s="117">
        <f>'отчет 0211'!I13</f>
        <v>0</v>
      </c>
      <c r="L9" s="117">
        <f>'отчет 0211'!H13</f>
        <v>0</v>
      </c>
      <c r="M9" s="117">
        <f>H9+J9+K9+L9</f>
        <v>326728.37999999995</v>
      </c>
      <c r="N9" s="117">
        <f>'отчет 0211'!J29</f>
        <v>34193.9</v>
      </c>
      <c r="O9" s="117">
        <f>'отчет 0211'!J32-'отчет 0211'!J29</f>
        <v>257792.4</v>
      </c>
      <c r="P9" s="117">
        <f>'отчет 0211'!H36</f>
        <v>7396.5</v>
      </c>
      <c r="Q9" s="119">
        <v>0</v>
      </c>
      <c r="R9" s="117">
        <f>SUM(N9:Q9)</f>
        <v>299382.8</v>
      </c>
      <c r="S9" s="124">
        <f>M9-R9</f>
        <v>27345.579999999958</v>
      </c>
    </row>
    <row r="10" spans="1:19" ht="15.75">
      <c r="A10" s="123">
        <f>A9+S9</f>
        <v>-560830.3597</v>
      </c>
      <c r="B10" s="56" t="s">
        <v>248</v>
      </c>
      <c r="C10" s="117">
        <v>308024.57</v>
      </c>
      <c r="D10" s="117">
        <v>23019.89</v>
      </c>
      <c r="E10" s="117">
        <f>SUM(C10:D10)</f>
        <v>331044.46</v>
      </c>
      <c r="F10" s="146">
        <f>'отчет12(01-11)'!I10</f>
        <v>289424.53</v>
      </c>
      <c r="G10" s="146">
        <f>'отчет12(01-11)'!I11</f>
        <v>21769.38</v>
      </c>
      <c r="H10" s="117">
        <f>SUM(F10:G10)</f>
        <v>311193.91000000003</v>
      </c>
      <c r="I10" s="119">
        <f>E10-H10</f>
        <v>19850.54999999999</v>
      </c>
      <c r="J10" s="117">
        <v>0</v>
      </c>
      <c r="K10" s="117">
        <v>0</v>
      </c>
      <c r="L10" s="117">
        <v>0</v>
      </c>
      <c r="M10" s="117">
        <f>H10+J10+K10+L10</f>
        <v>311193.91000000003</v>
      </c>
      <c r="N10" s="117">
        <f>'отчет12(01-11)'!K29</f>
        <v>32180.769999999997</v>
      </c>
      <c r="O10" s="117">
        <f>'отчет12(01-11)'!K31-'отчет12(01-11)'!K29</f>
        <v>244662.41</v>
      </c>
      <c r="P10" s="119">
        <f>'отчет12(01-11)'!I35</f>
        <v>0</v>
      </c>
      <c r="Q10" s="119">
        <f>'отчет12(01-11)'!I37</f>
        <v>0</v>
      </c>
      <c r="R10" s="117">
        <f>SUM(N10:Q10)</f>
        <v>276843.18</v>
      </c>
      <c r="S10" s="124">
        <f>M10-R10</f>
        <v>34350.73000000004</v>
      </c>
    </row>
    <row r="11" spans="1:19" ht="16.5" thickBot="1">
      <c r="A11" s="125"/>
      <c r="B11" s="126" t="s">
        <v>193</v>
      </c>
      <c r="C11" s="127">
        <f aca="true" t="shared" si="0" ref="C11:S11">SUM(C6:C10)</f>
        <v>1391951.1600000001</v>
      </c>
      <c r="D11" s="127">
        <f t="shared" si="0"/>
        <v>105349.05</v>
      </c>
      <c r="E11" s="127">
        <f t="shared" si="0"/>
        <v>1497300.21</v>
      </c>
      <c r="F11" s="127">
        <f t="shared" si="0"/>
        <v>1334718.02</v>
      </c>
      <c r="G11" s="127">
        <f t="shared" si="0"/>
        <v>100651.78</v>
      </c>
      <c r="H11" s="127">
        <f t="shared" si="0"/>
        <v>1435369.7999999998</v>
      </c>
      <c r="I11" s="127">
        <f t="shared" si="0"/>
        <v>61930.41000000006</v>
      </c>
      <c r="J11" s="127">
        <f t="shared" si="0"/>
        <v>0</v>
      </c>
      <c r="K11" s="127">
        <f t="shared" si="0"/>
        <v>0</v>
      </c>
      <c r="L11" s="127">
        <f t="shared" si="0"/>
        <v>0</v>
      </c>
      <c r="M11" s="127">
        <f t="shared" si="0"/>
        <v>1435369.7999999998</v>
      </c>
      <c r="N11" s="127">
        <f t="shared" si="0"/>
        <v>145176.3707</v>
      </c>
      <c r="O11" s="127">
        <f t="shared" si="0"/>
        <v>1086689.5590000001</v>
      </c>
      <c r="P11" s="127">
        <f t="shared" si="0"/>
        <v>231436.5</v>
      </c>
      <c r="Q11" s="127">
        <f t="shared" si="0"/>
        <v>498547</v>
      </c>
      <c r="R11" s="127">
        <f t="shared" si="0"/>
        <v>1961849.4297</v>
      </c>
      <c r="S11" s="128">
        <f t="shared" si="0"/>
        <v>-526479.6296999999</v>
      </c>
    </row>
    <row r="13" spans="1:19" ht="18.75" customHeight="1">
      <c r="A13" s="182"/>
      <c r="B13" s="286" t="s">
        <v>249</v>
      </c>
      <c r="C13" s="286"/>
      <c r="D13" s="286"/>
      <c r="E13" s="286"/>
      <c r="F13" s="286" t="s">
        <v>250</v>
      </c>
      <c r="G13" s="286"/>
      <c r="H13" s="286"/>
      <c r="I13" s="286"/>
      <c r="K13" s="182"/>
      <c r="L13" s="286"/>
      <c r="M13" s="286"/>
      <c r="N13" s="286"/>
      <c r="O13" s="286"/>
      <c r="P13" s="286"/>
      <c r="Q13" s="286"/>
      <c r="R13" s="286"/>
      <c r="S13" s="286"/>
    </row>
    <row r="14" spans="1:19" ht="18.75">
      <c r="A14" s="182"/>
      <c r="B14" s="182"/>
      <c r="C14" s="182"/>
      <c r="D14" s="182"/>
      <c r="E14" s="182"/>
      <c r="F14" s="182"/>
      <c r="G14" s="182"/>
      <c r="H14" s="182"/>
      <c r="I14" s="182"/>
      <c r="K14" s="182"/>
      <c r="L14" s="182"/>
      <c r="M14" s="182"/>
      <c r="N14" s="182"/>
      <c r="O14" s="182"/>
      <c r="P14" s="182"/>
      <c r="Q14" s="182"/>
      <c r="R14" s="182"/>
      <c r="S14" s="182"/>
    </row>
    <row r="15" spans="1:19" ht="15.75">
      <c r="A15"/>
      <c r="B15"/>
      <c r="C15"/>
      <c r="D15"/>
      <c r="E15"/>
      <c r="F15"/>
      <c r="G15"/>
      <c r="H15"/>
      <c r="I15"/>
      <c r="K15"/>
      <c r="L15"/>
      <c r="M15"/>
      <c r="N15"/>
      <c r="O15"/>
      <c r="P15"/>
      <c r="Q15"/>
      <c r="R15"/>
      <c r="S15"/>
    </row>
    <row r="16" spans="1:19" ht="18.75">
      <c r="A16"/>
      <c r="B16" s="287" t="s">
        <v>251</v>
      </c>
      <c r="C16" s="289"/>
      <c r="D16" s="289"/>
      <c r="E16" s="289"/>
      <c r="F16" s="289"/>
      <c r="G16" s="289"/>
      <c r="H16" s="289"/>
      <c r="I16"/>
      <c r="K16"/>
      <c r="L16" s="287"/>
      <c r="M16" s="288"/>
      <c r="N16" s="288"/>
      <c r="O16" s="288"/>
      <c r="P16" s="288"/>
      <c r="Q16" s="288"/>
      <c r="R16" s="288"/>
      <c r="S16"/>
    </row>
    <row r="17" spans="1:19" ht="15.75">
      <c r="A17"/>
      <c r="B17"/>
      <c r="C17"/>
      <c r="D17"/>
      <c r="E17"/>
      <c r="F17"/>
      <c r="G17"/>
      <c r="H17"/>
      <c r="I17"/>
      <c r="K17"/>
      <c r="L17"/>
      <c r="M17"/>
      <c r="N17"/>
      <c r="O17"/>
      <c r="P17"/>
      <c r="Q17"/>
      <c r="R17"/>
      <c r="S17"/>
    </row>
    <row r="18" spans="1:19" ht="15.75">
      <c r="A18" t="s">
        <v>244</v>
      </c>
      <c r="B18"/>
      <c r="C18"/>
      <c r="D18"/>
      <c r="E18"/>
      <c r="F18"/>
      <c r="G18"/>
      <c r="H18"/>
      <c r="I18"/>
      <c r="K18"/>
      <c r="L18"/>
      <c r="M18"/>
      <c r="N18"/>
      <c r="O18"/>
      <c r="P18"/>
      <c r="Q18"/>
      <c r="R18"/>
      <c r="S18"/>
    </row>
    <row r="19" spans="1:19" ht="15.75">
      <c r="A19"/>
      <c r="B19"/>
      <c r="C19"/>
      <c r="D19"/>
      <c r="E19"/>
      <c r="F19"/>
      <c r="G19"/>
      <c r="H19"/>
      <c r="I19"/>
      <c r="K19"/>
      <c r="L19"/>
      <c r="M19"/>
      <c r="N19"/>
      <c r="O19"/>
      <c r="P19"/>
      <c r="Q19"/>
      <c r="R19"/>
      <c r="S19"/>
    </row>
    <row r="20" spans="1:19" ht="15.75">
      <c r="A20"/>
      <c r="B20"/>
      <c r="C20"/>
      <c r="D20"/>
      <c r="E20"/>
      <c r="F20"/>
      <c r="G20"/>
      <c r="H20"/>
      <c r="I20"/>
      <c r="K20"/>
      <c r="L20"/>
      <c r="M20"/>
      <c r="N20"/>
      <c r="O20"/>
      <c r="P20"/>
      <c r="Q20"/>
      <c r="R20"/>
      <c r="S20"/>
    </row>
  </sheetData>
  <sheetProtection/>
  <mergeCells count="25">
    <mergeCell ref="L13:O13"/>
    <mergeCell ref="P13:S13"/>
    <mergeCell ref="L16:R16"/>
    <mergeCell ref="B13:E13"/>
    <mergeCell ref="F13:I13"/>
    <mergeCell ref="B16:H16"/>
    <mergeCell ref="A1:S1"/>
    <mergeCell ref="A2:A4"/>
    <mergeCell ref="B2:B4"/>
    <mergeCell ref="C2:I2"/>
    <mergeCell ref="J2:L2"/>
    <mergeCell ref="M2:M4"/>
    <mergeCell ref="N2:R2"/>
    <mergeCell ref="S2:S4"/>
    <mergeCell ref="C3:E3"/>
    <mergeCell ref="F3:H3"/>
    <mergeCell ref="I3:I4"/>
    <mergeCell ref="J3:J4"/>
    <mergeCell ref="K3:K4"/>
    <mergeCell ref="L3:L4"/>
    <mergeCell ref="R3:R4"/>
    <mergeCell ref="N3:N4"/>
    <mergeCell ref="O3:O4"/>
    <mergeCell ref="P3:P4"/>
    <mergeCell ref="Q3:Q4"/>
  </mergeCells>
  <printOptions/>
  <pageMargins left="0" right="0" top="0.984251968503937" bottom="0" header="0.5118110236220472" footer="0.5118110236220472"/>
  <pageSetup fitToHeight="1" fitToWidth="1"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7">
      <selection activeCell="H37" sqref="H37"/>
    </sheetView>
  </sheetViews>
  <sheetFormatPr defaultColWidth="9.00390625" defaultRowHeight="15.75"/>
  <cols>
    <col min="1" max="1" width="7.875" style="0" customWidth="1"/>
    <col min="2" max="2" width="26.625" style="0" customWidth="1"/>
    <col min="3" max="3" width="3.50390625" style="0" customWidth="1"/>
    <col min="4" max="4" width="14.875" style="0" customWidth="1"/>
    <col min="5" max="6" width="18.00390625" style="0" customWidth="1"/>
    <col min="7" max="7" width="8.00390625" style="0" customWidth="1"/>
    <col min="8" max="8" width="13.25390625" style="0" customWidth="1"/>
  </cols>
  <sheetData>
    <row r="1" spans="1:8" ht="101.25" customHeight="1">
      <c r="A1" s="196" t="s">
        <v>194</v>
      </c>
      <c r="B1" s="196"/>
      <c r="C1" s="196"/>
      <c r="D1" s="196"/>
      <c r="E1" s="196"/>
      <c r="F1" s="196"/>
      <c r="G1" s="196"/>
      <c r="H1" s="196"/>
    </row>
    <row r="2" spans="1:8" ht="63" customHeight="1">
      <c r="A2" s="225" t="s">
        <v>86</v>
      </c>
      <c r="B2" s="225"/>
      <c r="C2" s="225"/>
      <c r="D2" s="225"/>
      <c r="E2" s="225"/>
      <c r="F2" s="225"/>
      <c r="G2" s="225"/>
      <c r="H2" s="225"/>
    </row>
    <row r="3" spans="1:6" ht="18.75">
      <c r="A3" s="1" t="s">
        <v>82</v>
      </c>
      <c r="B3" s="1" t="s">
        <v>83</v>
      </c>
      <c r="C3" s="2"/>
      <c r="D3" s="2" t="s">
        <v>0</v>
      </c>
      <c r="E3" s="26">
        <v>2688.2</v>
      </c>
      <c r="F3" s="2"/>
    </row>
    <row r="4" spans="2:6" ht="15.75">
      <c r="B4" s="3" t="s">
        <v>1</v>
      </c>
      <c r="C4" s="35">
        <v>5</v>
      </c>
      <c r="D4" s="2" t="s">
        <v>2</v>
      </c>
      <c r="E4" s="27">
        <v>60</v>
      </c>
      <c r="F4" s="2"/>
    </row>
    <row r="5" spans="2:7" ht="15.75">
      <c r="B5" s="3" t="s">
        <v>3</v>
      </c>
      <c r="C5" s="4">
        <v>4</v>
      </c>
      <c r="D5" s="2" t="s">
        <v>4</v>
      </c>
      <c r="E5" s="2" t="s">
        <v>16</v>
      </c>
      <c r="F5" s="2"/>
      <c r="G5" s="2"/>
    </row>
    <row r="6" spans="2:7" ht="15.75">
      <c r="B6" s="3"/>
      <c r="C6" s="4"/>
      <c r="D6" s="2" t="s">
        <v>5</v>
      </c>
      <c r="E6" s="2" t="s">
        <v>16</v>
      </c>
      <c r="F6" s="2"/>
      <c r="G6" s="2"/>
    </row>
    <row r="7" spans="1:8" ht="47.25">
      <c r="A7" s="21" t="s">
        <v>61</v>
      </c>
      <c r="B7" s="220"/>
      <c r="C7" s="220"/>
      <c r="D7" s="220"/>
      <c r="E7" s="11" t="s">
        <v>6</v>
      </c>
      <c r="F7" s="11" t="s">
        <v>7</v>
      </c>
      <c r="G7" s="10" t="s">
        <v>22</v>
      </c>
      <c r="H7" s="10" t="s">
        <v>33</v>
      </c>
    </row>
    <row r="8" spans="1:8" ht="15.75">
      <c r="A8" s="22"/>
      <c r="B8" s="222" t="s">
        <v>65</v>
      </c>
      <c r="C8" s="223"/>
      <c r="D8" s="223"/>
      <c r="E8" s="223"/>
      <c r="F8" s="224"/>
      <c r="G8" s="15"/>
      <c r="H8" s="16"/>
    </row>
    <row r="9" spans="1:8" ht="15.75">
      <c r="A9" s="22"/>
      <c r="B9" s="204" t="s">
        <v>66</v>
      </c>
      <c r="C9" s="204"/>
      <c r="D9" s="204"/>
      <c r="E9" s="204"/>
      <c r="F9" s="204"/>
      <c r="G9" s="15"/>
      <c r="H9" s="30">
        <v>23387.76</v>
      </c>
    </row>
    <row r="10" spans="1:8" ht="15.75">
      <c r="A10" s="22">
        <v>1</v>
      </c>
      <c r="B10" s="221" t="s">
        <v>63</v>
      </c>
      <c r="C10" s="221"/>
      <c r="D10" s="221"/>
      <c r="E10" s="221"/>
      <c r="F10" s="221"/>
      <c r="G10" s="15"/>
      <c r="H10" s="34">
        <v>283189.52</v>
      </c>
    </row>
    <row r="11" spans="1:8" ht="15.75">
      <c r="A11" s="22"/>
      <c r="B11" s="221" t="s">
        <v>67</v>
      </c>
      <c r="C11" s="221"/>
      <c r="D11" s="221"/>
      <c r="E11" s="221"/>
      <c r="F11" s="221"/>
      <c r="G11" s="15"/>
      <c r="H11" s="40">
        <f>H10*0.9</f>
        <v>254870.56800000003</v>
      </c>
    </row>
    <row r="12" spans="1:8" ht="15.75" customHeight="1">
      <c r="A12" s="22"/>
      <c r="B12" s="221" t="s">
        <v>68</v>
      </c>
      <c r="C12" s="221"/>
      <c r="D12" s="221"/>
      <c r="E12" s="221"/>
      <c r="F12" s="221"/>
      <c r="G12" s="15"/>
      <c r="H12" s="40">
        <f>H10-H11</f>
        <v>28318.95199999999</v>
      </c>
    </row>
    <row r="13" spans="1:8" ht="15.75" customHeight="1">
      <c r="A13" s="22">
        <v>2</v>
      </c>
      <c r="B13" s="221" t="s">
        <v>64</v>
      </c>
      <c r="C13" s="221"/>
      <c r="D13" s="221"/>
      <c r="E13" s="221"/>
      <c r="F13" s="221"/>
      <c r="G13" s="15"/>
      <c r="H13" s="34">
        <v>280505.03</v>
      </c>
    </row>
    <row r="14" spans="1:8" ht="15.75" customHeight="1">
      <c r="A14" s="22">
        <v>3</v>
      </c>
      <c r="B14" s="221" t="s">
        <v>69</v>
      </c>
      <c r="C14" s="221"/>
      <c r="D14" s="221"/>
      <c r="E14" s="221"/>
      <c r="F14" s="221"/>
      <c r="G14" s="15"/>
      <c r="H14" s="40">
        <f>H10-H13</f>
        <v>2684.4899999999907</v>
      </c>
    </row>
    <row r="15" spans="1:8" ht="15.75" customHeight="1">
      <c r="A15" s="22">
        <v>4</v>
      </c>
      <c r="B15" s="204" t="s">
        <v>70</v>
      </c>
      <c r="C15" s="204"/>
      <c r="D15" s="204"/>
      <c r="E15" s="204"/>
      <c r="F15" s="204"/>
      <c r="G15" s="15"/>
      <c r="H15" s="41">
        <f>H9+H10-H13</f>
        <v>26072.25</v>
      </c>
    </row>
    <row r="16" spans="1:8" ht="18.75">
      <c r="A16" s="22">
        <v>5</v>
      </c>
      <c r="B16" s="226" t="s">
        <v>74</v>
      </c>
      <c r="C16" s="226"/>
      <c r="D16" s="226"/>
      <c r="E16" s="226"/>
      <c r="F16" s="226"/>
      <c r="G16" s="17"/>
      <c r="H16" s="42"/>
    </row>
    <row r="17" spans="1:8" ht="15.75">
      <c r="A17" s="22" t="s">
        <v>40</v>
      </c>
      <c r="B17" s="18" t="s">
        <v>75</v>
      </c>
      <c r="C17" s="18"/>
      <c r="D17" s="18"/>
      <c r="E17" s="18"/>
      <c r="F17" s="5"/>
      <c r="G17" s="19"/>
      <c r="H17" s="43"/>
    </row>
    <row r="18" spans="1:8" ht="31.5">
      <c r="A18" s="28" t="s">
        <v>41</v>
      </c>
      <c r="B18" s="215" t="s">
        <v>18</v>
      </c>
      <c r="C18" s="215"/>
      <c r="D18" s="215"/>
      <c r="E18" s="6" t="s">
        <v>32</v>
      </c>
      <c r="F18" s="6" t="s">
        <v>24</v>
      </c>
      <c r="G18" s="12">
        <v>0.9</v>
      </c>
      <c r="H18" s="44">
        <f>ROUND(G18*$E$3*12,2)</f>
        <v>29032.56</v>
      </c>
    </row>
    <row r="19" spans="1:8" ht="15.75">
      <c r="A19" s="29" t="s">
        <v>42</v>
      </c>
      <c r="B19" s="215" t="s">
        <v>17</v>
      </c>
      <c r="C19" s="215"/>
      <c r="D19" s="215"/>
      <c r="E19" s="6" t="s">
        <v>32</v>
      </c>
      <c r="F19" s="6" t="s">
        <v>19</v>
      </c>
      <c r="G19" s="12">
        <v>0.26</v>
      </c>
      <c r="H19" s="44">
        <f aca="true" t="shared" si="0" ref="H19:H31">ROUND(G19*$E$3*12,2)</f>
        <v>8387.18</v>
      </c>
    </row>
    <row r="20" spans="1:8" ht="15.75">
      <c r="A20" s="28" t="s">
        <v>43</v>
      </c>
      <c r="B20" s="202" t="s">
        <v>23</v>
      </c>
      <c r="C20" s="202"/>
      <c r="D20" s="202"/>
      <c r="E20" s="7" t="s">
        <v>8</v>
      </c>
      <c r="F20" s="7" t="s">
        <v>20</v>
      </c>
      <c r="G20" s="12">
        <v>0.32</v>
      </c>
      <c r="H20" s="44">
        <f t="shared" si="0"/>
        <v>10322.69</v>
      </c>
    </row>
    <row r="21" spans="1:8" ht="33" customHeight="1">
      <c r="A21" s="29" t="s">
        <v>44</v>
      </c>
      <c r="B21" s="216" t="s">
        <v>31</v>
      </c>
      <c r="C21" s="216"/>
      <c r="D21" s="216"/>
      <c r="E21" s="8" t="s">
        <v>9</v>
      </c>
      <c r="F21" s="8" t="s">
        <v>10</v>
      </c>
      <c r="G21" s="12">
        <v>0.46</v>
      </c>
      <c r="H21" s="44">
        <f t="shared" si="0"/>
        <v>14838.86</v>
      </c>
    </row>
    <row r="22" spans="1:8" ht="63">
      <c r="A22" s="28" t="s">
        <v>47</v>
      </c>
      <c r="B22" s="202" t="s">
        <v>27</v>
      </c>
      <c r="C22" s="202"/>
      <c r="D22" s="202"/>
      <c r="E22" s="7" t="s">
        <v>34</v>
      </c>
      <c r="F22" s="7" t="s">
        <v>25</v>
      </c>
      <c r="G22" s="12">
        <v>0.11</v>
      </c>
      <c r="H22" s="44">
        <f t="shared" si="0"/>
        <v>3548.42</v>
      </c>
    </row>
    <row r="23" spans="1:8" ht="31.5">
      <c r="A23" s="29" t="s">
        <v>45</v>
      </c>
      <c r="B23" s="202" t="s">
        <v>11</v>
      </c>
      <c r="C23" s="202"/>
      <c r="D23" s="202"/>
      <c r="E23" s="7" t="s">
        <v>9</v>
      </c>
      <c r="F23" s="7" t="s">
        <v>12</v>
      </c>
      <c r="G23" s="12">
        <v>0</v>
      </c>
      <c r="H23" s="44">
        <f t="shared" si="0"/>
        <v>0</v>
      </c>
    </row>
    <row r="24" spans="1:8" ht="15.75">
      <c r="A24" s="28" t="s">
        <v>46</v>
      </c>
      <c r="B24" s="202" t="s">
        <v>26</v>
      </c>
      <c r="C24" s="203"/>
      <c r="D24" s="203"/>
      <c r="E24" s="9" t="s">
        <v>13</v>
      </c>
      <c r="F24" s="9" t="s">
        <v>14</v>
      </c>
      <c r="G24" s="12">
        <v>0.04</v>
      </c>
      <c r="H24" s="44">
        <f t="shared" si="0"/>
        <v>1290.34</v>
      </c>
    </row>
    <row r="25" spans="1:8" ht="36.75" customHeight="1">
      <c r="A25" s="29" t="s">
        <v>48</v>
      </c>
      <c r="B25" s="217" t="s">
        <v>77</v>
      </c>
      <c r="C25" s="218"/>
      <c r="D25" s="219"/>
      <c r="E25" s="9" t="s">
        <v>13</v>
      </c>
      <c r="F25" s="38" t="s">
        <v>81</v>
      </c>
      <c r="G25" s="12">
        <v>0.22</v>
      </c>
      <c r="H25" s="44">
        <f t="shared" si="0"/>
        <v>7096.85</v>
      </c>
    </row>
    <row r="26" spans="1:8" ht="31.5">
      <c r="A26" s="28" t="s">
        <v>49</v>
      </c>
      <c r="B26" s="202" t="s">
        <v>35</v>
      </c>
      <c r="C26" s="202"/>
      <c r="D26" s="202"/>
      <c r="E26" s="6" t="s">
        <v>36</v>
      </c>
      <c r="F26" s="39" t="s">
        <v>81</v>
      </c>
      <c r="G26" s="12">
        <v>2.5</v>
      </c>
      <c r="H26" s="44">
        <f t="shared" si="0"/>
        <v>80646</v>
      </c>
    </row>
    <row r="27" spans="1:8" ht="31.5">
      <c r="A27" s="29" t="s">
        <v>50</v>
      </c>
      <c r="B27" s="215" t="s">
        <v>15</v>
      </c>
      <c r="C27" s="215"/>
      <c r="D27" s="215"/>
      <c r="E27" s="6" t="s">
        <v>36</v>
      </c>
      <c r="F27" s="39" t="s">
        <v>81</v>
      </c>
      <c r="G27" s="12">
        <v>0.38</v>
      </c>
      <c r="H27" s="44">
        <f t="shared" si="0"/>
        <v>12258.19</v>
      </c>
    </row>
    <row r="28" spans="1:8" ht="31.5">
      <c r="A28" s="28" t="s">
        <v>51</v>
      </c>
      <c r="B28" s="213" t="s">
        <v>37</v>
      </c>
      <c r="C28" s="214"/>
      <c r="D28" s="214"/>
      <c r="E28" s="6" t="s">
        <v>36</v>
      </c>
      <c r="F28" s="39" t="s">
        <v>81</v>
      </c>
      <c r="G28" s="36">
        <f>1.82-G29-G30</f>
        <v>1.82</v>
      </c>
      <c r="H28" s="44">
        <f t="shared" si="0"/>
        <v>58710.29</v>
      </c>
    </row>
    <row r="29" spans="1:8" ht="31.5">
      <c r="A29" s="29" t="s">
        <v>52</v>
      </c>
      <c r="B29" s="202" t="s">
        <v>28</v>
      </c>
      <c r="C29" s="202"/>
      <c r="D29" s="202"/>
      <c r="E29" s="6" t="s">
        <v>36</v>
      </c>
      <c r="F29" s="39" t="s">
        <v>81</v>
      </c>
      <c r="G29" s="13">
        <v>0</v>
      </c>
      <c r="H29" s="44">
        <f t="shared" si="0"/>
        <v>0</v>
      </c>
    </row>
    <row r="30" spans="1:8" ht="31.5">
      <c r="A30" s="28" t="s">
        <v>53</v>
      </c>
      <c r="B30" s="202" t="s">
        <v>29</v>
      </c>
      <c r="C30" s="202"/>
      <c r="D30" s="202"/>
      <c r="E30" s="6" t="s">
        <v>36</v>
      </c>
      <c r="F30" s="39" t="s">
        <v>81</v>
      </c>
      <c r="G30" s="13">
        <v>0</v>
      </c>
      <c r="H30" s="44">
        <f t="shared" si="0"/>
        <v>0</v>
      </c>
    </row>
    <row r="31" spans="1:8" ht="31.5">
      <c r="A31" s="29" t="s">
        <v>54</v>
      </c>
      <c r="B31" s="203" t="s">
        <v>21</v>
      </c>
      <c r="C31" s="203"/>
      <c r="D31" s="203"/>
      <c r="E31" s="6" t="s">
        <v>36</v>
      </c>
      <c r="F31" s="39" t="s">
        <v>81</v>
      </c>
      <c r="G31" s="9">
        <v>0.88</v>
      </c>
      <c r="H31" s="44">
        <f t="shared" si="0"/>
        <v>28387.39</v>
      </c>
    </row>
    <row r="32" spans="1:8" ht="15.75">
      <c r="A32" s="22" t="s">
        <v>55</v>
      </c>
      <c r="B32" s="212" t="s">
        <v>30</v>
      </c>
      <c r="C32" s="212"/>
      <c r="D32" s="212"/>
      <c r="E32" s="14"/>
      <c r="F32" s="39"/>
      <c r="G32" s="20">
        <f>SUM(G18:G31)</f>
        <v>7.890000000000001</v>
      </c>
      <c r="H32" s="45">
        <f>SUM(H18:H31)</f>
        <v>254518.77000000002</v>
      </c>
    </row>
    <row r="33" spans="1:8" ht="15.75">
      <c r="A33" s="22" t="s">
        <v>56</v>
      </c>
      <c r="B33" s="204" t="s">
        <v>38</v>
      </c>
      <c r="C33" s="203"/>
      <c r="D33" s="203"/>
      <c r="E33" s="14"/>
      <c r="F33" s="39" t="s">
        <v>81</v>
      </c>
      <c r="G33" s="23">
        <f>H33/E3/12</f>
        <v>5.114946804553234</v>
      </c>
      <c r="H33" s="24">
        <v>165000</v>
      </c>
    </row>
    <row r="34" spans="1:8" ht="18.75">
      <c r="A34" s="25" t="s">
        <v>57</v>
      </c>
      <c r="B34" s="205" t="s">
        <v>76</v>
      </c>
      <c r="C34" s="205"/>
      <c r="D34" s="205"/>
      <c r="E34" s="205"/>
      <c r="F34" s="205"/>
      <c r="G34" s="20">
        <f>SUM(G32:G33)</f>
        <v>13.004946804553235</v>
      </c>
      <c r="H34" s="46">
        <f>SUM(H32:H33)</f>
        <v>419518.77</v>
      </c>
    </row>
    <row r="35" spans="1:8" ht="18.75">
      <c r="A35" s="22" t="s">
        <v>62</v>
      </c>
      <c r="B35" s="209" t="s">
        <v>39</v>
      </c>
      <c r="C35" s="210"/>
      <c r="D35" s="210"/>
      <c r="E35" s="210"/>
      <c r="F35" s="210"/>
      <c r="G35" s="211"/>
      <c r="H35" s="31"/>
    </row>
    <row r="36" spans="1:8" ht="15.75" customHeight="1">
      <c r="A36" s="22" t="s">
        <v>58</v>
      </c>
      <c r="B36" s="206" t="s">
        <v>71</v>
      </c>
      <c r="C36" s="207"/>
      <c r="D36" s="207"/>
      <c r="E36" s="207"/>
      <c r="F36" s="207"/>
      <c r="G36" s="208"/>
      <c r="H36" s="32">
        <v>-30769.85</v>
      </c>
    </row>
    <row r="37" spans="1:8" ht="15.75" customHeight="1">
      <c r="A37" s="22" t="s">
        <v>59</v>
      </c>
      <c r="B37" s="206" t="s">
        <v>72</v>
      </c>
      <c r="C37" s="207"/>
      <c r="D37" s="207"/>
      <c r="E37" s="207"/>
      <c r="F37" s="207"/>
      <c r="G37" s="208"/>
      <c r="H37" s="47">
        <f>H13-H34</f>
        <v>-139013.74</v>
      </c>
    </row>
    <row r="38" spans="1:8" ht="15.75" customHeight="1">
      <c r="A38" s="22" t="s">
        <v>60</v>
      </c>
      <c r="B38" s="206" t="s">
        <v>73</v>
      </c>
      <c r="C38" s="207"/>
      <c r="D38" s="207"/>
      <c r="E38" s="207"/>
      <c r="F38" s="207"/>
      <c r="G38" s="208"/>
      <c r="H38" s="47">
        <f>H36+H37</f>
        <v>-169783.59</v>
      </c>
    </row>
    <row r="39" spans="2:6" ht="19.5" customHeight="1">
      <c r="B39" s="33"/>
      <c r="F39" s="33"/>
    </row>
    <row r="40" spans="2:6" ht="15.75">
      <c r="B40" s="33"/>
      <c r="C40" s="33"/>
      <c r="D40" s="33"/>
      <c r="E40" s="33"/>
      <c r="F40" s="33"/>
    </row>
    <row r="42" spans="2:5" ht="15.75">
      <c r="B42" s="33" t="s">
        <v>78</v>
      </c>
      <c r="C42" s="33"/>
      <c r="D42" s="33"/>
      <c r="E42" s="33"/>
    </row>
    <row r="43" spans="2:4" ht="15.75">
      <c r="B43" s="33"/>
      <c r="C43" s="33"/>
      <c r="D43" s="33"/>
    </row>
    <row r="44" spans="2:4" ht="15.75">
      <c r="B44" s="37" t="s">
        <v>79</v>
      </c>
      <c r="C44" s="37"/>
      <c r="D44" s="37" t="s">
        <v>80</v>
      </c>
    </row>
    <row r="45" spans="2:6" ht="15.75">
      <c r="B45" s="48" t="s">
        <v>84</v>
      </c>
      <c r="C45" s="48"/>
      <c r="D45" s="48"/>
      <c r="E45" s="48"/>
      <c r="F45" s="48"/>
    </row>
    <row r="46" spans="2:4" ht="15.75" customHeight="1">
      <c r="B46" s="201" t="s">
        <v>85</v>
      </c>
      <c r="C46" s="201"/>
      <c r="D46" s="201"/>
    </row>
  </sheetData>
  <sheetProtection/>
  <mergeCells count="34">
    <mergeCell ref="B37:G37"/>
    <mergeCell ref="A1:H1"/>
    <mergeCell ref="A2:H2"/>
    <mergeCell ref="B29:D29"/>
    <mergeCell ref="B30:D30"/>
    <mergeCell ref="B13:F13"/>
    <mergeCell ref="B14:F14"/>
    <mergeCell ref="B15:F15"/>
    <mergeCell ref="B16:F16"/>
    <mergeCell ref="B18:D18"/>
    <mergeCell ref="B19:D19"/>
    <mergeCell ref="B7:D7"/>
    <mergeCell ref="B12:F12"/>
    <mergeCell ref="B8:F8"/>
    <mergeCell ref="B9:F9"/>
    <mergeCell ref="B10:F10"/>
    <mergeCell ref="B11:F11"/>
    <mergeCell ref="B20:D20"/>
    <mergeCell ref="B27:D27"/>
    <mergeCell ref="B21:D21"/>
    <mergeCell ref="B22:D22"/>
    <mergeCell ref="B23:D23"/>
    <mergeCell ref="B25:D25"/>
    <mergeCell ref="B26:D26"/>
    <mergeCell ref="B46:D46"/>
    <mergeCell ref="B24:D24"/>
    <mergeCell ref="B33:D33"/>
    <mergeCell ref="B34:F34"/>
    <mergeCell ref="B31:D31"/>
    <mergeCell ref="B38:G38"/>
    <mergeCell ref="B35:G35"/>
    <mergeCell ref="B32:D32"/>
    <mergeCell ref="B28:D28"/>
    <mergeCell ref="B36:G36"/>
  </mergeCells>
  <printOptions/>
  <pageMargins left="0.54" right="0.31" top="0.5" bottom="0.25" header="0.5" footer="0.18"/>
  <pageSetup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4"/>
  <sheetViews>
    <sheetView zoomScalePageLayoutView="0" workbookViewId="0" topLeftCell="A37">
      <selection activeCell="A1" sqref="A1:IV16384"/>
    </sheetView>
  </sheetViews>
  <sheetFormatPr defaultColWidth="9.00390625" defaultRowHeight="15.75"/>
  <cols>
    <col min="1" max="1" width="4.375" style="0" customWidth="1"/>
    <col min="2" max="2" width="25.125" style="0" customWidth="1"/>
    <col min="3" max="3" width="3.75390625" style="0" customWidth="1"/>
    <col min="4" max="4" width="23.875" style="0" customWidth="1"/>
    <col min="5" max="5" width="17.75390625" style="0" customWidth="1"/>
    <col min="6" max="6" width="0.12890625" style="0" hidden="1" customWidth="1"/>
    <col min="7" max="7" width="9.375" style="0" hidden="1" customWidth="1"/>
    <col min="8" max="8" width="11.625" style="0" bestFit="1" customWidth="1"/>
    <col min="9" max="9" width="11.75390625" style="0" bestFit="1" customWidth="1"/>
    <col min="10" max="10" width="11.625" style="0" bestFit="1" customWidth="1"/>
  </cols>
  <sheetData>
    <row r="1" spans="1:10" ht="110.25" customHeight="1">
      <c r="A1" s="196" t="s">
        <v>195</v>
      </c>
      <c r="B1" s="196"/>
      <c r="C1" s="196"/>
      <c r="D1" s="196"/>
      <c r="E1" s="196"/>
      <c r="F1" s="196"/>
      <c r="G1" s="196"/>
      <c r="H1" s="196"/>
      <c r="I1" s="196"/>
      <c r="J1" s="196"/>
    </row>
    <row r="2" spans="1:10" ht="54" customHeight="1">
      <c r="A2" s="231" t="s">
        <v>197</v>
      </c>
      <c r="B2" s="231"/>
      <c r="C2" s="231"/>
      <c r="D2" s="231"/>
      <c r="E2" s="231"/>
      <c r="F2" s="231"/>
      <c r="G2" s="231"/>
      <c r="H2" s="231"/>
      <c r="I2" s="231"/>
      <c r="J2" s="231"/>
    </row>
    <row r="3" spans="1:6" ht="18.75">
      <c r="A3" s="1" t="s">
        <v>82</v>
      </c>
      <c r="B3" s="1" t="s">
        <v>83</v>
      </c>
      <c r="C3" s="2"/>
      <c r="D3" s="2" t="s">
        <v>0</v>
      </c>
      <c r="E3" s="26">
        <v>2688.2</v>
      </c>
      <c r="F3" s="2"/>
    </row>
    <row r="4" spans="2:6" ht="15.75">
      <c r="B4" s="3" t="s">
        <v>1</v>
      </c>
      <c r="C4" s="35">
        <v>5</v>
      </c>
      <c r="D4" s="2" t="s">
        <v>2</v>
      </c>
      <c r="E4" s="27">
        <v>60</v>
      </c>
      <c r="F4" s="2"/>
    </row>
    <row r="5" spans="2:7" ht="15.75">
      <c r="B5" s="3" t="s">
        <v>3</v>
      </c>
      <c r="C5" s="4">
        <v>4</v>
      </c>
      <c r="D5" s="2" t="s">
        <v>4</v>
      </c>
      <c r="E5" s="2" t="s">
        <v>16</v>
      </c>
      <c r="F5" s="2"/>
      <c r="G5" s="2"/>
    </row>
    <row r="6" spans="2:7" ht="15.75">
      <c r="B6" s="3"/>
      <c r="C6" s="4"/>
      <c r="D6" s="2" t="s">
        <v>5</v>
      </c>
      <c r="E6" s="2" t="s">
        <v>16</v>
      </c>
      <c r="F6" s="2"/>
      <c r="G6" s="2"/>
    </row>
    <row r="7" spans="1:10" ht="39" customHeight="1">
      <c r="A7" s="21" t="s">
        <v>61</v>
      </c>
      <c r="B7" s="232" t="s">
        <v>140</v>
      </c>
      <c r="C7" s="233"/>
      <c r="D7" s="234"/>
      <c r="E7" s="11" t="s">
        <v>6</v>
      </c>
      <c r="F7" s="11" t="s">
        <v>7</v>
      </c>
      <c r="G7" s="85" t="s">
        <v>22</v>
      </c>
      <c r="H7" s="235" t="s">
        <v>141</v>
      </c>
      <c r="I7" s="236"/>
      <c r="J7" s="237"/>
    </row>
    <row r="8" spans="1:10" ht="15.75">
      <c r="A8" s="22">
        <v>1</v>
      </c>
      <c r="B8" s="222"/>
      <c r="C8" s="223"/>
      <c r="D8" s="223"/>
      <c r="E8" s="223"/>
      <c r="F8" s="224"/>
      <c r="G8" s="86"/>
      <c r="H8" s="87" t="s">
        <v>142</v>
      </c>
      <c r="I8" s="88" t="s">
        <v>143</v>
      </c>
      <c r="J8" s="88" t="s">
        <v>144</v>
      </c>
    </row>
    <row r="9" spans="1:10" ht="15.75">
      <c r="A9" s="22"/>
      <c r="B9" s="222" t="s">
        <v>145</v>
      </c>
      <c r="C9" s="223"/>
      <c r="D9" s="223"/>
      <c r="E9" s="223"/>
      <c r="F9" s="224"/>
      <c r="G9" s="89"/>
      <c r="H9" s="89"/>
      <c r="I9" s="57"/>
      <c r="J9" s="88"/>
    </row>
    <row r="10" spans="1:10" ht="15.75">
      <c r="A10" s="90"/>
      <c r="B10" s="221" t="s">
        <v>146</v>
      </c>
      <c r="C10" s="221"/>
      <c r="D10" s="221"/>
      <c r="E10" s="221"/>
      <c r="F10" s="221"/>
      <c r="G10" s="15"/>
      <c r="H10" s="91">
        <v>281120.7</v>
      </c>
      <c r="I10" s="76"/>
      <c r="J10" s="92">
        <f>H10+I10</f>
        <v>281120.7</v>
      </c>
    </row>
    <row r="11" spans="1:10" ht="15.75">
      <c r="A11" s="90"/>
      <c r="B11" s="221" t="s">
        <v>147</v>
      </c>
      <c r="C11" s="221"/>
      <c r="D11" s="221"/>
      <c r="E11" s="221"/>
      <c r="F11" s="221"/>
      <c r="G11" s="15"/>
      <c r="H11" s="16">
        <v>20486.79</v>
      </c>
      <c r="I11" s="76"/>
      <c r="J11" s="92">
        <f>H11+I11</f>
        <v>20486.79</v>
      </c>
    </row>
    <row r="12" spans="1:10" ht="15.75">
      <c r="A12" s="22"/>
      <c r="B12" s="221" t="s">
        <v>148</v>
      </c>
      <c r="C12" s="221"/>
      <c r="D12" s="221"/>
      <c r="E12" s="221"/>
      <c r="F12" s="221"/>
      <c r="G12" s="15"/>
      <c r="H12" s="91"/>
      <c r="I12" s="76">
        <v>0</v>
      </c>
      <c r="J12" s="92">
        <f>H12+I12</f>
        <v>0</v>
      </c>
    </row>
    <row r="13" spans="1:10" ht="15.75">
      <c r="A13" s="22"/>
      <c r="B13" s="221" t="s">
        <v>149</v>
      </c>
      <c r="C13" s="221"/>
      <c r="D13" s="221"/>
      <c r="E13" s="221"/>
      <c r="F13" s="221"/>
      <c r="G13" s="15"/>
      <c r="H13" s="91"/>
      <c r="I13" s="93"/>
      <c r="J13" s="92">
        <f>H13+I13</f>
        <v>0</v>
      </c>
    </row>
    <row r="14" spans="1:10" ht="15.75">
      <c r="A14" s="22"/>
      <c r="B14" s="204" t="s">
        <v>150</v>
      </c>
      <c r="C14" s="204"/>
      <c r="D14" s="204"/>
      <c r="E14" s="204"/>
      <c r="F14" s="204"/>
      <c r="G14" s="15"/>
      <c r="H14" s="41">
        <f>SUM(H10:H12)</f>
        <v>301607.49</v>
      </c>
      <c r="I14" s="94">
        <f>SUM(I10:I12)</f>
        <v>0</v>
      </c>
      <c r="J14" s="41">
        <f>SUM(J10:J13)</f>
        <v>301607.49</v>
      </c>
    </row>
    <row r="15" spans="1:10" ht="18.75">
      <c r="A15" s="22">
        <v>2</v>
      </c>
      <c r="B15" s="226" t="s">
        <v>74</v>
      </c>
      <c r="C15" s="226"/>
      <c r="D15" s="226"/>
      <c r="E15" s="226"/>
      <c r="F15" s="226"/>
      <c r="G15" s="15"/>
      <c r="H15" s="91"/>
      <c r="I15" s="76"/>
      <c r="J15" s="34"/>
    </row>
    <row r="16" spans="1:10" ht="15.75">
      <c r="A16" s="22" t="s">
        <v>151</v>
      </c>
      <c r="B16" s="18" t="s">
        <v>75</v>
      </c>
      <c r="C16" s="18"/>
      <c r="D16" s="18"/>
      <c r="E16" s="18"/>
      <c r="F16" s="5"/>
      <c r="G16" s="87"/>
      <c r="H16" s="87"/>
      <c r="I16" s="84"/>
      <c r="J16" s="88"/>
    </row>
    <row r="17" spans="1:10" ht="33" customHeight="1">
      <c r="A17" s="95"/>
      <c r="B17" s="230" t="s">
        <v>137</v>
      </c>
      <c r="C17" s="230"/>
      <c r="D17" s="230"/>
      <c r="E17" s="96" t="s">
        <v>32</v>
      </c>
      <c r="F17" s="79" t="s">
        <v>24</v>
      </c>
      <c r="G17" s="80">
        <v>0.92</v>
      </c>
      <c r="H17" s="97">
        <f>ROUND(G17*$E$3*12,2)</f>
        <v>29677.73</v>
      </c>
      <c r="I17" s="98">
        <f>$I$12*0.08</f>
        <v>0</v>
      </c>
      <c r="J17" s="99">
        <f>SUM(H17:I17)</f>
        <v>29677.73</v>
      </c>
    </row>
    <row r="18" spans="1:10" ht="17.25" customHeight="1">
      <c r="A18" s="22"/>
      <c r="B18" s="183" t="s">
        <v>17</v>
      </c>
      <c r="C18" s="183"/>
      <c r="D18" s="183"/>
      <c r="E18" s="96" t="s">
        <v>32</v>
      </c>
      <c r="F18" s="79" t="s">
        <v>19</v>
      </c>
      <c r="G18" s="80">
        <v>0.26</v>
      </c>
      <c r="H18" s="97">
        <f>ROUND(G18*$E$3*12,2)</f>
        <v>8387.18</v>
      </c>
      <c r="I18" s="98">
        <f>$I$12*0.02</f>
        <v>0</v>
      </c>
      <c r="J18" s="99">
        <f aca="true" t="shared" si="0" ref="J18:J37">SUM(H18:I18)</f>
        <v>8387.18</v>
      </c>
    </row>
    <row r="19" spans="1:10" ht="20.25" customHeight="1">
      <c r="A19" s="22"/>
      <c r="B19" s="229" t="s">
        <v>23</v>
      </c>
      <c r="C19" s="229"/>
      <c r="D19" s="229"/>
      <c r="E19" s="100" t="s">
        <v>152</v>
      </c>
      <c r="F19" s="81" t="s">
        <v>20</v>
      </c>
      <c r="G19" s="80">
        <v>0.35</v>
      </c>
      <c r="H19" s="97">
        <f>J19-I19</f>
        <v>9323.08</v>
      </c>
      <c r="I19" s="98">
        <f>$I$12*0.07</f>
        <v>0</v>
      </c>
      <c r="J19" s="101">
        <v>9323.08</v>
      </c>
    </row>
    <row r="20" spans="1:10" ht="20.25" customHeight="1">
      <c r="A20" s="95"/>
      <c r="B20" s="230" t="s">
        <v>31</v>
      </c>
      <c r="C20" s="230"/>
      <c r="D20" s="230"/>
      <c r="E20" s="102" t="s">
        <v>9</v>
      </c>
      <c r="F20" s="82" t="s">
        <v>10</v>
      </c>
      <c r="G20" s="80">
        <v>0.46</v>
      </c>
      <c r="H20" s="97">
        <f>ROUND(G20*$E$3*12,2)</f>
        <v>14838.86</v>
      </c>
      <c r="I20" s="98">
        <f>$I$12*0.04</f>
        <v>0</v>
      </c>
      <c r="J20" s="99">
        <f t="shared" si="0"/>
        <v>14838.86</v>
      </c>
    </row>
    <row r="21" spans="1:10" ht="64.5" customHeight="1">
      <c r="A21" s="22"/>
      <c r="B21" s="229" t="s">
        <v>27</v>
      </c>
      <c r="C21" s="229"/>
      <c r="D21" s="229"/>
      <c r="E21" s="100" t="s">
        <v>153</v>
      </c>
      <c r="F21" s="81" t="s">
        <v>25</v>
      </c>
      <c r="G21" s="80">
        <v>0.11</v>
      </c>
      <c r="H21" s="97">
        <f>J21-I21</f>
        <v>3920.4</v>
      </c>
      <c r="I21" s="98">
        <f>$I$12*0.01</f>
        <v>0</v>
      </c>
      <c r="J21" s="101">
        <v>3920.4</v>
      </c>
    </row>
    <row r="22" spans="1:10" ht="20.25" customHeight="1">
      <c r="A22" s="95"/>
      <c r="B22" s="229" t="s">
        <v>11</v>
      </c>
      <c r="C22" s="229"/>
      <c r="D22" s="229"/>
      <c r="E22" s="100" t="s">
        <v>9</v>
      </c>
      <c r="F22" s="81" t="s">
        <v>12</v>
      </c>
      <c r="G22" s="80">
        <v>0</v>
      </c>
      <c r="H22" s="97">
        <f>J22-I22</f>
        <v>0</v>
      </c>
      <c r="I22" s="98">
        <f>$I$12*0.15</f>
        <v>0</v>
      </c>
      <c r="J22" s="101">
        <f>G22*E3*12</f>
        <v>0</v>
      </c>
    </row>
    <row r="23" spans="1:10" ht="20.25" customHeight="1">
      <c r="A23" s="95"/>
      <c r="B23" s="229" t="s">
        <v>26</v>
      </c>
      <c r="C23" s="185"/>
      <c r="D23" s="185"/>
      <c r="E23" s="103" t="s">
        <v>13</v>
      </c>
      <c r="F23" s="78" t="s">
        <v>14</v>
      </c>
      <c r="G23" s="80">
        <v>0.04</v>
      </c>
      <c r="H23" s="97">
        <f>J23-I23</f>
        <v>3865.4</v>
      </c>
      <c r="I23" s="98">
        <f>$I$12*0.003</f>
        <v>0</v>
      </c>
      <c r="J23" s="101">
        <v>3865.4</v>
      </c>
    </row>
    <row r="24" spans="1:10" ht="28.5" customHeight="1">
      <c r="A24" s="22"/>
      <c r="B24" s="229" t="s">
        <v>154</v>
      </c>
      <c r="C24" s="229"/>
      <c r="D24" s="229"/>
      <c r="E24" s="96" t="s">
        <v>36</v>
      </c>
      <c r="F24" s="39" t="s">
        <v>81</v>
      </c>
      <c r="G24" s="80">
        <v>1.87</v>
      </c>
      <c r="H24" s="97">
        <f aca="true" t="shared" si="1" ref="H24:H29">ROUND(G24*$E$3*12,2)</f>
        <v>60323.21</v>
      </c>
      <c r="I24" s="98">
        <f>$I$12*0.19</f>
        <v>0</v>
      </c>
      <c r="J24" s="99">
        <f t="shared" si="0"/>
        <v>60323.21</v>
      </c>
    </row>
    <row r="25" spans="1:10" ht="26.25" customHeight="1">
      <c r="A25" s="22"/>
      <c r="B25" s="183" t="s">
        <v>15</v>
      </c>
      <c r="C25" s="183"/>
      <c r="D25" s="183"/>
      <c r="E25" s="96" t="s">
        <v>36</v>
      </c>
      <c r="F25" s="39" t="s">
        <v>81</v>
      </c>
      <c r="G25" s="80">
        <v>0.38</v>
      </c>
      <c r="H25" s="104">
        <f>ROUND(G25*$E$3*0,2)</f>
        <v>0</v>
      </c>
      <c r="I25" s="98">
        <v>0</v>
      </c>
      <c r="J25" s="99">
        <f t="shared" si="0"/>
        <v>0</v>
      </c>
    </row>
    <row r="26" spans="1:10" ht="30" customHeight="1">
      <c r="A26" s="22"/>
      <c r="B26" s="228" t="s">
        <v>37</v>
      </c>
      <c r="C26" s="193"/>
      <c r="D26" s="194"/>
      <c r="E26" s="96" t="s">
        <v>36</v>
      </c>
      <c r="F26" s="39" t="s">
        <v>81</v>
      </c>
      <c r="G26" s="36">
        <f>2.97-G27-G28</f>
        <v>2.97</v>
      </c>
      <c r="H26" s="104">
        <f t="shared" si="1"/>
        <v>95807.45</v>
      </c>
      <c r="I26" s="105">
        <f>$I$12*0.18</f>
        <v>0</v>
      </c>
      <c r="J26" s="99">
        <f t="shared" si="0"/>
        <v>95807.45</v>
      </c>
    </row>
    <row r="27" spans="1:10" ht="26.25" customHeight="1">
      <c r="A27" s="95"/>
      <c r="B27" s="229" t="s">
        <v>155</v>
      </c>
      <c r="C27" s="229"/>
      <c r="D27" s="229"/>
      <c r="E27" s="96" t="s">
        <v>36</v>
      </c>
      <c r="F27" s="39" t="s">
        <v>81</v>
      </c>
      <c r="G27" s="36">
        <v>0</v>
      </c>
      <c r="H27" s="104">
        <f t="shared" si="1"/>
        <v>0</v>
      </c>
      <c r="I27" s="105">
        <f>$I$12*0.02</f>
        <v>0</v>
      </c>
      <c r="J27" s="99">
        <f t="shared" si="0"/>
        <v>0</v>
      </c>
    </row>
    <row r="28" spans="1:10" ht="17.25" customHeight="1">
      <c r="A28" s="22"/>
      <c r="B28" s="229" t="s">
        <v>156</v>
      </c>
      <c r="C28" s="229"/>
      <c r="D28" s="229"/>
      <c r="E28" s="100" t="s">
        <v>9</v>
      </c>
      <c r="F28" s="39" t="s">
        <v>81</v>
      </c>
      <c r="G28" s="36">
        <v>0</v>
      </c>
      <c r="H28" s="104">
        <f t="shared" si="1"/>
        <v>0</v>
      </c>
      <c r="I28" s="105">
        <f>$I$12*0.02</f>
        <v>0</v>
      </c>
      <c r="J28" s="99">
        <f t="shared" si="0"/>
        <v>0</v>
      </c>
    </row>
    <row r="29" spans="1:10" ht="17.25" customHeight="1">
      <c r="A29" s="22"/>
      <c r="B29" s="185" t="s">
        <v>21</v>
      </c>
      <c r="C29" s="185"/>
      <c r="D29" s="185"/>
      <c r="E29" s="100" t="s">
        <v>9</v>
      </c>
      <c r="F29" s="39" t="s">
        <v>81</v>
      </c>
      <c r="G29" s="78">
        <v>0.92</v>
      </c>
      <c r="H29" s="97">
        <f t="shared" si="1"/>
        <v>29677.73</v>
      </c>
      <c r="I29" s="98">
        <f>$I$12*0.1</f>
        <v>0</v>
      </c>
      <c r="J29" s="99">
        <f t="shared" si="0"/>
        <v>29677.73</v>
      </c>
    </row>
    <row r="30" spans="1:10" ht="21.75" customHeight="1">
      <c r="A30" s="22"/>
      <c r="B30" s="186" t="s">
        <v>157</v>
      </c>
      <c r="C30" s="187"/>
      <c r="D30" s="188"/>
      <c r="E30" s="100" t="s">
        <v>9</v>
      </c>
      <c r="F30" s="39"/>
      <c r="G30" s="78"/>
      <c r="H30" s="104"/>
      <c r="I30" s="93"/>
      <c r="J30" s="106"/>
    </row>
    <row r="31" spans="1:10" ht="27.75" customHeight="1">
      <c r="A31" s="22"/>
      <c r="B31" s="186" t="s">
        <v>158</v>
      </c>
      <c r="C31" s="187"/>
      <c r="D31" s="188"/>
      <c r="E31" s="96" t="s">
        <v>36</v>
      </c>
      <c r="F31" s="39"/>
      <c r="G31" s="78"/>
      <c r="H31" s="104"/>
      <c r="I31" s="93"/>
      <c r="J31" s="106"/>
    </row>
    <row r="32" spans="1:10" ht="15.75">
      <c r="A32" s="22"/>
      <c r="B32" s="192"/>
      <c r="C32" s="193"/>
      <c r="D32" s="194"/>
      <c r="E32" s="100"/>
      <c r="F32" s="39"/>
      <c r="G32" s="78"/>
      <c r="H32" s="104"/>
      <c r="I32" s="93"/>
      <c r="J32" s="106"/>
    </row>
    <row r="33" spans="1:10" ht="15.75">
      <c r="A33" s="22"/>
      <c r="B33" s="192"/>
      <c r="C33" s="193"/>
      <c r="D33" s="194"/>
      <c r="E33" s="100"/>
      <c r="F33" s="39"/>
      <c r="G33" s="78"/>
      <c r="H33" s="104"/>
      <c r="I33" s="93"/>
      <c r="J33" s="106"/>
    </row>
    <row r="34" spans="1:10" ht="15.75">
      <c r="A34" s="22"/>
      <c r="B34" s="212" t="s">
        <v>30</v>
      </c>
      <c r="C34" s="212"/>
      <c r="D34" s="212"/>
      <c r="E34" s="14"/>
      <c r="F34" s="39"/>
      <c r="G34" s="20">
        <f>SUM(G17:G29)</f>
        <v>8.28</v>
      </c>
      <c r="H34" s="45">
        <f>SUM(H17:H33)</f>
        <v>255821.04</v>
      </c>
      <c r="I34" s="107">
        <f>SUM(I17:I33)</f>
        <v>0</v>
      </c>
      <c r="J34" s="45">
        <f>SUM(J17:J33)</f>
        <v>255821.04</v>
      </c>
    </row>
    <row r="35" spans="1:10" ht="15" customHeight="1">
      <c r="A35" s="22" t="s">
        <v>159</v>
      </c>
      <c r="B35" s="195" t="s">
        <v>160</v>
      </c>
      <c r="C35" s="189"/>
      <c r="D35" s="189"/>
      <c r="E35" s="184"/>
      <c r="F35" s="39" t="s">
        <v>81</v>
      </c>
      <c r="G35" s="23">
        <f>H35/E3/12</f>
        <v>0.023559754978548227</v>
      </c>
      <c r="H35" s="108">
        <v>760</v>
      </c>
      <c r="I35" s="109">
        <v>0</v>
      </c>
      <c r="J35" s="41">
        <f t="shared" si="0"/>
        <v>760</v>
      </c>
    </row>
    <row r="36" spans="1:10" ht="14.25" customHeight="1">
      <c r="A36" s="25"/>
      <c r="B36" s="190" t="s">
        <v>76</v>
      </c>
      <c r="C36" s="190"/>
      <c r="D36" s="190"/>
      <c r="E36" s="190"/>
      <c r="F36" s="190"/>
      <c r="G36" s="20">
        <f>SUM(G34:G35)</f>
        <v>8.303559754978547</v>
      </c>
      <c r="H36" s="46">
        <f>SUM(H34:H35)</f>
        <v>256581.04</v>
      </c>
      <c r="I36" s="110">
        <f>SUM(I34:I35)</f>
        <v>0</v>
      </c>
      <c r="J36" s="46">
        <f>SUM(J34:J35)</f>
        <v>256581.04</v>
      </c>
    </row>
    <row r="37" spans="1:10" ht="15.75">
      <c r="A37" s="22" t="s">
        <v>161</v>
      </c>
      <c r="B37" s="227" t="s">
        <v>162</v>
      </c>
      <c r="C37" s="227"/>
      <c r="D37" s="227"/>
      <c r="E37" s="227"/>
      <c r="F37" s="227"/>
      <c r="G37" s="23"/>
      <c r="H37" s="111"/>
      <c r="I37" s="111">
        <v>0</v>
      </c>
      <c r="J37" s="112">
        <f t="shared" si="0"/>
        <v>0</v>
      </c>
    </row>
    <row r="38" spans="1:10" ht="24.75" customHeight="1">
      <c r="A38" s="25"/>
      <c r="B38" s="190" t="s">
        <v>163</v>
      </c>
      <c r="C38" s="190"/>
      <c r="D38" s="190"/>
      <c r="E38" s="190"/>
      <c r="F38" s="190"/>
      <c r="G38" s="20">
        <f>SUM(G36:G37)</f>
        <v>8.303559754978547</v>
      </c>
      <c r="H38" s="46">
        <f>SUM(H36:H37)</f>
        <v>256581.04</v>
      </c>
      <c r="I38" s="110">
        <f>SUM(I36:I37)</f>
        <v>0</v>
      </c>
      <c r="J38" s="46">
        <f>SUM(J36:J37)</f>
        <v>256581.04</v>
      </c>
    </row>
    <row r="39" spans="1:10" ht="27" customHeight="1">
      <c r="A39" s="22">
        <v>3</v>
      </c>
      <c r="B39" s="206" t="s">
        <v>164</v>
      </c>
      <c r="C39" s="207"/>
      <c r="D39" s="207"/>
      <c r="E39" s="207"/>
      <c r="F39" s="207"/>
      <c r="G39" s="208"/>
      <c r="H39" s="97">
        <f>H14-H38</f>
        <v>45026.44999999998</v>
      </c>
      <c r="I39" s="97">
        <f>I14-I38</f>
        <v>0</v>
      </c>
      <c r="J39" s="113">
        <f>J14-J38</f>
        <v>45026.44999999998</v>
      </c>
    </row>
    <row r="40" spans="2:9" ht="36" customHeight="1">
      <c r="B40" s="191" t="s">
        <v>198</v>
      </c>
      <c r="C40" s="191"/>
      <c r="D40" s="191"/>
      <c r="E40" s="191"/>
      <c r="F40" s="191"/>
      <c r="G40" s="191"/>
      <c r="H40" s="191"/>
      <c r="I40" s="191"/>
    </row>
    <row r="41" spans="2:4" ht="25.5" customHeight="1">
      <c r="B41" s="33"/>
      <c r="C41" s="33"/>
      <c r="D41" s="33"/>
    </row>
    <row r="42" spans="2:4" ht="15.75">
      <c r="B42" s="37" t="s">
        <v>79</v>
      </c>
      <c r="C42" s="37"/>
      <c r="D42" s="37"/>
    </row>
    <row r="43" spans="2:6" ht="15.75">
      <c r="B43" s="48" t="s">
        <v>84</v>
      </c>
      <c r="C43" s="48"/>
      <c r="D43" s="48"/>
      <c r="E43" s="48"/>
      <c r="F43" s="48"/>
    </row>
    <row r="44" spans="2:4" ht="15.75" customHeight="1">
      <c r="B44" s="201" t="s">
        <v>85</v>
      </c>
      <c r="C44" s="201"/>
      <c r="D44" s="201"/>
    </row>
  </sheetData>
  <sheetProtection/>
  <mergeCells count="37">
    <mergeCell ref="A1:J1"/>
    <mergeCell ref="A2:J2"/>
    <mergeCell ref="B7:D7"/>
    <mergeCell ref="H7:J7"/>
    <mergeCell ref="B14:F14"/>
    <mergeCell ref="B15:F15"/>
    <mergeCell ref="B8:F8"/>
    <mergeCell ref="B9:F9"/>
    <mergeCell ref="B10:F10"/>
    <mergeCell ref="B11:F11"/>
    <mergeCell ref="B12:F12"/>
    <mergeCell ref="B13:F13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3:D33"/>
    <mergeCell ref="B34:D34"/>
    <mergeCell ref="B35:E35"/>
    <mergeCell ref="B36:F36"/>
    <mergeCell ref="B44:D44"/>
    <mergeCell ref="B37:F37"/>
    <mergeCell ref="B38:F38"/>
    <mergeCell ref="B39:G39"/>
    <mergeCell ref="B40:I40"/>
  </mergeCells>
  <printOptions/>
  <pageMargins left="0.7874015748031497" right="0" top="0" bottom="0" header="0.5118110236220472" footer="0.5118110236220472"/>
  <pageSetup horizontalDpi="600" verticalDpi="600" orientation="portrait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3"/>
  <sheetViews>
    <sheetView zoomScalePageLayoutView="0" workbookViewId="0" topLeftCell="A19">
      <selection activeCell="A1" sqref="A1:IV16384"/>
    </sheetView>
  </sheetViews>
  <sheetFormatPr defaultColWidth="9.00390625" defaultRowHeight="15.75"/>
  <cols>
    <col min="1" max="1" width="7.875" style="0" customWidth="1"/>
    <col min="2" max="2" width="26.625" style="0" customWidth="1"/>
    <col min="3" max="3" width="3.50390625" style="0" customWidth="1"/>
    <col min="4" max="4" width="18.625" style="0" customWidth="1"/>
    <col min="5" max="5" width="19.50390625" style="0" customWidth="1"/>
    <col min="6" max="6" width="18.00390625" style="0" hidden="1" customWidth="1"/>
    <col min="7" max="7" width="2.625" style="0" hidden="1" customWidth="1"/>
    <col min="8" max="8" width="17.625" style="0" customWidth="1"/>
  </cols>
  <sheetData>
    <row r="1" spans="1:8" ht="123.75" customHeight="1">
      <c r="A1" s="196" t="s">
        <v>199</v>
      </c>
      <c r="B1" s="196"/>
      <c r="C1" s="196"/>
      <c r="D1" s="196"/>
      <c r="E1" s="196"/>
      <c r="F1" s="196"/>
      <c r="G1" s="196"/>
      <c r="H1" s="196"/>
    </row>
    <row r="2" spans="1:6" ht="18.75">
      <c r="A2" s="1" t="s">
        <v>82</v>
      </c>
      <c r="B2" s="1" t="s">
        <v>83</v>
      </c>
      <c r="C2" s="2"/>
      <c r="D2" s="2" t="s">
        <v>0</v>
      </c>
      <c r="E2" s="26">
        <v>2688.2</v>
      </c>
      <c r="F2" s="2"/>
    </row>
    <row r="3" spans="2:6" ht="15.75">
      <c r="B3" s="3" t="s">
        <v>1</v>
      </c>
      <c r="C3" s="35">
        <v>5</v>
      </c>
      <c r="D3" s="2" t="s">
        <v>2</v>
      </c>
      <c r="E3" s="27">
        <v>60</v>
      </c>
      <c r="F3" s="2"/>
    </row>
    <row r="4" spans="2:7" ht="15.75">
      <c r="B4" s="3" t="s">
        <v>3</v>
      </c>
      <c r="C4" s="4">
        <v>4</v>
      </c>
      <c r="D4" s="2" t="s">
        <v>4</v>
      </c>
      <c r="E4" s="2" t="s">
        <v>16</v>
      </c>
      <c r="F4" s="2"/>
      <c r="G4" s="2"/>
    </row>
    <row r="5" spans="2:7" ht="16.5" thickBot="1">
      <c r="B5" s="3"/>
      <c r="C5" s="4"/>
      <c r="D5" s="2" t="s">
        <v>5</v>
      </c>
      <c r="E5" s="2" t="s">
        <v>16</v>
      </c>
      <c r="F5" s="2"/>
      <c r="G5" s="2"/>
    </row>
    <row r="6" spans="1:8" ht="42.75" customHeight="1">
      <c r="A6" s="73" t="s">
        <v>61</v>
      </c>
      <c r="B6" s="242" t="s">
        <v>140</v>
      </c>
      <c r="C6" s="243"/>
      <c r="D6" s="244"/>
      <c r="E6" s="74" t="s">
        <v>6</v>
      </c>
      <c r="F6" s="74" t="s">
        <v>7</v>
      </c>
      <c r="G6" s="129" t="s">
        <v>200</v>
      </c>
      <c r="H6" s="130" t="s">
        <v>134</v>
      </c>
    </row>
    <row r="7" spans="1:8" ht="15.75" customHeight="1">
      <c r="A7" s="75">
        <v>1</v>
      </c>
      <c r="B7" s="245" t="s">
        <v>135</v>
      </c>
      <c r="C7" s="245"/>
      <c r="D7" s="245"/>
      <c r="E7" s="245"/>
      <c r="F7" s="245"/>
      <c r="G7" s="76"/>
      <c r="H7" s="131"/>
    </row>
    <row r="8" spans="1:8" ht="15.75" customHeight="1">
      <c r="A8" s="75"/>
      <c r="B8" s="204" t="s">
        <v>201</v>
      </c>
      <c r="C8" s="204"/>
      <c r="D8" s="204"/>
      <c r="E8" s="204"/>
      <c r="F8" s="204"/>
      <c r="G8" s="23">
        <f>G30</f>
        <v>10.580000000000002</v>
      </c>
      <c r="H8" s="131">
        <f>ROUND($E$2*G8*12,0)</f>
        <v>341294</v>
      </c>
    </row>
    <row r="9" spans="1:8" ht="15.75" customHeight="1">
      <c r="A9" s="75"/>
      <c r="B9" s="238" t="s">
        <v>136</v>
      </c>
      <c r="C9" s="238"/>
      <c r="D9" s="238"/>
      <c r="E9" s="238"/>
      <c r="F9" s="238"/>
      <c r="G9" s="22">
        <v>0.76</v>
      </c>
      <c r="H9" s="131">
        <f>ROUND($E$2*G9*12,0)</f>
        <v>24516</v>
      </c>
    </row>
    <row r="10" spans="1:8" ht="18.75" customHeight="1">
      <c r="A10" s="75">
        <v>2</v>
      </c>
      <c r="B10" s="226" t="s">
        <v>74</v>
      </c>
      <c r="C10" s="226"/>
      <c r="D10" s="226"/>
      <c r="E10" s="226"/>
      <c r="F10" s="226"/>
      <c r="G10" s="78"/>
      <c r="H10" s="131"/>
    </row>
    <row r="11" spans="1:8" ht="15.75" customHeight="1">
      <c r="A11" s="75"/>
      <c r="B11" s="18" t="s">
        <v>75</v>
      </c>
      <c r="C11" s="18"/>
      <c r="D11" s="18"/>
      <c r="E11" s="18"/>
      <c r="F11" s="5"/>
      <c r="G11" s="89"/>
      <c r="H11" s="131"/>
    </row>
    <row r="12" spans="1:8" ht="15.75" customHeight="1">
      <c r="A12" s="132"/>
      <c r="B12" s="240" t="s">
        <v>202</v>
      </c>
      <c r="C12" s="240"/>
      <c r="D12" s="240"/>
      <c r="E12" s="96" t="s">
        <v>32</v>
      </c>
      <c r="F12" s="79" t="s">
        <v>24</v>
      </c>
      <c r="G12" s="80">
        <v>1.06</v>
      </c>
      <c r="H12" s="77">
        <f aca="true" t="shared" si="0" ref="H12:H30">ROUND($E$2*G12*12,0)</f>
        <v>34194</v>
      </c>
    </row>
    <row r="13" spans="1:8" ht="15.75" customHeight="1">
      <c r="A13" s="132"/>
      <c r="B13" s="240" t="s">
        <v>17</v>
      </c>
      <c r="C13" s="240"/>
      <c r="D13" s="240"/>
      <c r="E13" s="96" t="s">
        <v>32</v>
      </c>
      <c r="F13" s="79" t="s">
        <v>19</v>
      </c>
      <c r="G13" s="80">
        <v>0.28</v>
      </c>
      <c r="H13" s="77">
        <f t="shared" si="0"/>
        <v>9032</v>
      </c>
    </row>
    <row r="14" spans="1:8" ht="15.75" customHeight="1">
      <c r="A14" s="132"/>
      <c r="B14" s="239" t="s">
        <v>23</v>
      </c>
      <c r="C14" s="239"/>
      <c r="D14" s="239"/>
      <c r="E14" s="100" t="s">
        <v>152</v>
      </c>
      <c r="F14" s="81" t="s">
        <v>20</v>
      </c>
      <c r="G14" s="80">
        <v>0.39</v>
      </c>
      <c r="H14" s="77">
        <f t="shared" si="0"/>
        <v>12581</v>
      </c>
    </row>
    <row r="15" spans="1:8" ht="18.75" customHeight="1">
      <c r="A15" s="132"/>
      <c r="B15" s="246" t="s">
        <v>31</v>
      </c>
      <c r="C15" s="246"/>
      <c r="D15" s="246"/>
      <c r="E15" s="102" t="s">
        <v>9</v>
      </c>
      <c r="F15" s="82" t="s">
        <v>10</v>
      </c>
      <c r="G15" s="80">
        <v>0.51</v>
      </c>
      <c r="H15" s="77">
        <f t="shared" si="0"/>
        <v>16452</v>
      </c>
    </row>
    <row r="16" spans="1:8" ht="51">
      <c r="A16" s="132"/>
      <c r="B16" s="239" t="s">
        <v>27</v>
      </c>
      <c r="C16" s="239"/>
      <c r="D16" s="239"/>
      <c r="E16" s="100" t="s">
        <v>153</v>
      </c>
      <c r="F16" s="81" t="s">
        <v>25</v>
      </c>
      <c r="G16" s="80">
        <v>0.12</v>
      </c>
      <c r="H16" s="77">
        <f t="shared" si="0"/>
        <v>3871</v>
      </c>
    </row>
    <row r="17" spans="1:8" ht="31.5" customHeight="1">
      <c r="A17" s="132"/>
      <c r="B17" s="239" t="s">
        <v>11</v>
      </c>
      <c r="C17" s="239"/>
      <c r="D17" s="239"/>
      <c r="E17" s="100" t="s">
        <v>9</v>
      </c>
      <c r="F17" s="81" t="s">
        <v>12</v>
      </c>
      <c r="G17" s="80">
        <v>0</v>
      </c>
      <c r="H17" s="77">
        <f t="shared" si="0"/>
        <v>0</v>
      </c>
    </row>
    <row r="18" spans="1:8" ht="15.75" customHeight="1">
      <c r="A18" s="132"/>
      <c r="B18" s="239" t="s">
        <v>26</v>
      </c>
      <c r="C18" s="241"/>
      <c r="D18" s="241"/>
      <c r="E18" s="103" t="s">
        <v>13</v>
      </c>
      <c r="F18" s="78" t="s">
        <v>203</v>
      </c>
      <c r="G18" s="80">
        <v>0.05</v>
      </c>
      <c r="H18" s="77">
        <f t="shared" si="0"/>
        <v>1613</v>
      </c>
    </row>
    <row r="19" spans="1:8" ht="31.5" customHeight="1">
      <c r="A19" s="132"/>
      <c r="B19" s="239" t="s">
        <v>154</v>
      </c>
      <c r="C19" s="239"/>
      <c r="D19" s="239"/>
      <c r="E19" s="96" t="s">
        <v>36</v>
      </c>
      <c r="F19" s="81" t="s">
        <v>81</v>
      </c>
      <c r="G19" s="80">
        <v>2.15</v>
      </c>
      <c r="H19" s="77">
        <f t="shared" si="0"/>
        <v>69356</v>
      </c>
    </row>
    <row r="20" spans="1:8" ht="33" customHeight="1">
      <c r="A20" s="132"/>
      <c r="B20" s="240" t="s">
        <v>15</v>
      </c>
      <c r="C20" s="240"/>
      <c r="D20" s="240"/>
      <c r="E20" s="96" t="s">
        <v>138</v>
      </c>
      <c r="F20" s="81" t="s">
        <v>81</v>
      </c>
      <c r="G20" s="80">
        <v>0.44</v>
      </c>
      <c r="H20" s="77">
        <f>ROUND($E$2*G20*0,0)</f>
        <v>0</v>
      </c>
    </row>
    <row r="21" spans="1:8" ht="33" customHeight="1">
      <c r="A21" s="132"/>
      <c r="B21" s="239" t="s">
        <v>37</v>
      </c>
      <c r="C21" s="241"/>
      <c r="D21" s="241"/>
      <c r="E21" s="96" t="s">
        <v>36</v>
      </c>
      <c r="F21" s="81" t="s">
        <v>81</v>
      </c>
      <c r="G21" s="80">
        <f>3.46-G22-G23</f>
        <v>3.46</v>
      </c>
      <c r="H21" s="77">
        <f t="shared" si="0"/>
        <v>111614</v>
      </c>
    </row>
    <row r="22" spans="1:8" ht="31.5" customHeight="1">
      <c r="A22" s="132"/>
      <c r="B22" s="239" t="s">
        <v>204</v>
      </c>
      <c r="C22" s="239"/>
      <c r="D22" s="239"/>
      <c r="E22" s="100" t="s">
        <v>9</v>
      </c>
      <c r="F22" s="81" t="s">
        <v>81</v>
      </c>
      <c r="G22" s="80">
        <v>0</v>
      </c>
      <c r="H22" s="77">
        <f t="shared" si="0"/>
        <v>0</v>
      </c>
    </row>
    <row r="23" spans="1:8" ht="15.75" customHeight="1">
      <c r="A23" s="132"/>
      <c r="B23" s="239" t="s">
        <v>156</v>
      </c>
      <c r="C23" s="239"/>
      <c r="D23" s="239"/>
      <c r="E23" s="100" t="s">
        <v>9</v>
      </c>
      <c r="F23" s="81" t="s">
        <v>81</v>
      </c>
      <c r="G23" s="80">
        <v>0</v>
      </c>
      <c r="H23" s="77">
        <f t="shared" si="0"/>
        <v>0</v>
      </c>
    </row>
    <row r="24" spans="1:8" ht="36.75" customHeight="1">
      <c r="A24" s="132"/>
      <c r="B24" s="241" t="s">
        <v>21</v>
      </c>
      <c r="C24" s="241"/>
      <c r="D24" s="241"/>
      <c r="E24" s="96" t="s">
        <v>36</v>
      </c>
      <c r="F24" s="81" t="s">
        <v>81</v>
      </c>
      <c r="G24" s="80">
        <v>1.06</v>
      </c>
      <c r="H24" s="77">
        <f t="shared" si="0"/>
        <v>34194</v>
      </c>
    </row>
    <row r="25" spans="1:8" ht="15.75">
      <c r="A25" s="22"/>
      <c r="B25" s="186" t="s">
        <v>157</v>
      </c>
      <c r="C25" s="187"/>
      <c r="D25" s="188"/>
      <c r="E25" s="100" t="s">
        <v>9</v>
      </c>
      <c r="F25" s="81"/>
      <c r="G25" s="80"/>
      <c r="H25" s="77"/>
    </row>
    <row r="26" spans="1:8" ht="25.5">
      <c r="A26" s="22"/>
      <c r="B26" s="186" t="s">
        <v>158</v>
      </c>
      <c r="C26" s="187"/>
      <c r="D26" s="188"/>
      <c r="E26" s="96" t="s">
        <v>36</v>
      </c>
      <c r="F26" s="81"/>
      <c r="G26" s="80"/>
      <c r="H26" s="77"/>
    </row>
    <row r="27" spans="1:8" ht="31.5" customHeight="1">
      <c r="A27" s="132"/>
      <c r="B27" s="192"/>
      <c r="C27" s="193"/>
      <c r="D27" s="194"/>
      <c r="E27" s="96"/>
      <c r="F27" s="81"/>
      <c r="G27" s="80"/>
      <c r="H27" s="77"/>
    </row>
    <row r="28" spans="1:8" ht="15.75">
      <c r="A28" s="132"/>
      <c r="B28" s="251" t="s">
        <v>30</v>
      </c>
      <c r="C28" s="252"/>
      <c r="D28" s="253"/>
      <c r="E28" s="14"/>
      <c r="F28" s="81"/>
      <c r="G28" s="20">
        <f>SUM(G12:G27)</f>
        <v>9.520000000000001</v>
      </c>
      <c r="H28" s="77">
        <f t="shared" si="0"/>
        <v>307100</v>
      </c>
    </row>
    <row r="29" spans="1:8" ht="15.75">
      <c r="A29" s="75" t="s">
        <v>159</v>
      </c>
      <c r="B29" s="195" t="s">
        <v>205</v>
      </c>
      <c r="C29" s="189"/>
      <c r="D29" s="189"/>
      <c r="E29" s="184"/>
      <c r="F29" s="50" t="s">
        <v>139</v>
      </c>
      <c r="G29" s="23">
        <v>1.06</v>
      </c>
      <c r="H29" s="77">
        <f t="shared" si="0"/>
        <v>34194</v>
      </c>
    </row>
    <row r="30" spans="1:8" ht="15.75">
      <c r="A30" s="75"/>
      <c r="B30" s="247" t="s">
        <v>206</v>
      </c>
      <c r="C30" s="247"/>
      <c r="D30" s="247"/>
      <c r="E30" s="247"/>
      <c r="F30" s="247"/>
      <c r="G30" s="20">
        <f>SUM(G28:G29)</f>
        <v>10.580000000000002</v>
      </c>
      <c r="H30" s="133">
        <f t="shared" si="0"/>
        <v>341294</v>
      </c>
    </row>
    <row r="31" spans="1:8" ht="16.5" thickBot="1">
      <c r="A31" s="134">
        <v>3</v>
      </c>
      <c r="B31" s="248" t="s">
        <v>207</v>
      </c>
      <c r="C31" s="249"/>
      <c r="D31" s="250"/>
      <c r="E31" s="135"/>
      <c r="F31" s="136" t="s">
        <v>139</v>
      </c>
      <c r="G31" s="83">
        <v>0.76</v>
      </c>
      <c r="H31" s="137">
        <f>ROUND($E$2*G31*12,0)</f>
        <v>24516</v>
      </c>
    </row>
    <row r="33" spans="2:5" ht="15.75">
      <c r="B33" s="33" t="s">
        <v>208</v>
      </c>
      <c r="C33" s="33"/>
      <c r="D33" s="33"/>
      <c r="E33" s="33"/>
    </row>
  </sheetData>
  <sheetProtection/>
  <mergeCells count="26">
    <mergeCell ref="B30:F30"/>
    <mergeCell ref="B31:D31"/>
    <mergeCell ref="B24:D24"/>
    <mergeCell ref="B25:D25"/>
    <mergeCell ref="B26:D26"/>
    <mergeCell ref="B27:D27"/>
    <mergeCell ref="B28:D28"/>
    <mergeCell ref="B29:E29"/>
    <mergeCell ref="A1:H1"/>
    <mergeCell ref="B6:D6"/>
    <mergeCell ref="B7:F7"/>
    <mergeCell ref="B19:D19"/>
    <mergeCell ref="B15:D15"/>
    <mergeCell ref="B17:D17"/>
    <mergeCell ref="B18:D18"/>
    <mergeCell ref="B12:D12"/>
    <mergeCell ref="B13:D13"/>
    <mergeCell ref="B14:D14"/>
    <mergeCell ref="B20:D20"/>
    <mergeCell ref="B21:D21"/>
    <mergeCell ref="B22:D22"/>
    <mergeCell ref="B23:D23"/>
    <mergeCell ref="B8:F8"/>
    <mergeCell ref="B9:F9"/>
    <mergeCell ref="B10:F10"/>
    <mergeCell ref="B16:D16"/>
  </mergeCells>
  <printOptions/>
  <pageMargins left="0.8" right="0.31" top="1" bottom="1" header="0.5" footer="0.5"/>
  <pageSetup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44"/>
  <sheetViews>
    <sheetView view="pageBreakPreview" zoomScale="60" zoomScalePageLayoutView="0" workbookViewId="0" topLeftCell="B20">
      <selection activeCell="B43" sqref="B43"/>
    </sheetView>
  </sheetViews>
  <sheetFormatPr defaultColWidth="9.00390625" defaultRowHeight="15.75"/>
  <cols>
    <col min="1" max="1" width="4.375" style="0" customWidth="1"/>
    <col min="2" max="2" width="25.125" style="0" customWidth="1"/>
    <col min="3" max="3" width="3.75390625" style="0" customWidth="1"/>
    <col min="4" max="4" width="23.875" style="0" customWidth="1"/>
    <col min="5" max="5" width="17.75390625" style="0" customWidth="1"/>
    <col min="6" max="6" width="0.12890625" style="0" hidden="1" customWidth="1"/>
    <col min="7" max="7" width="7.375" style="0" bestFit="1" customWidth="1"/>
    <col min="8" max="8" width="11.625" style="0" bestFit="1" customWidth="1"/>
    <col min="9" max="9" width="10.875" style="0" customWidth="1"/>
    <col min="10" max="10" width="11.625" style="0" bestFit="1" customWidth="1"/>
  </cols>
  <sheetData>
    <row r="1" spans="1:10" ht="110.25" customHeight="1">
      <c r="A1" s="196" t="s">
        <v>210</v>
      </c>
      <c r="B1" s="196"/>
      <c r="C1" s="196"/>
      <c r="D1" s="196"/>
      <c r="E1" s="196"/>
      <c r="F1" s="196"/>
      <c r="G1" s="196"/>
      <c r="H1" s="196"/>
      <c r="I1" s="196"/>
      <c r="J1" s="196"/>
    </row>
    <row r="2" spans="1:10" ht="54" customHeight="1">
      <c r="A2" s="231" t="s">
        <v>211</v>
      </c>
      <c r="B2" s="231"/>
      <c r="C2" s="231"/>
      <c r="D2" s="231"/>
      <c r="E2" s="231"/>
      <c r="F2" s="231"/>
      <c r="G2" s="231"/>
      <c r="H2" s="231"/>
      <c r="I2" s="231"/>
      <c r="J2" s="231"/>
    </row>
    <row r="3" spans="1:6" ht="18.75">
      <c r="A3" s="1" t="s">
        <v>82</v>
      </c>
      <c r="B3" s="1" t="s">
        <v>83</v>
      </c>
      <c r="C3" s="2"/>
      <c r="D3" s="2" t="s">
        <v>0</v>
      </c>
      <c r="E3" s="26">
        <v>2688.2</v>
      </c>
      <c r="F3" s="2"/>
    </row>
    <row r="4" spans="2:6" ht="15.75">
      <c r="B4" s="3" t="s">
        <v>1</v>
      </c>
      <c r="C4" s="35">
        <v>5</v>
      </c>
      <c r="D4" s="2" t="s">
        <v>2</v>
      </c>
      <c r="E4" s="27">
        <v>60</v>
      </c>
      <c r="F4" s="2"/>
    </row>
    <row r="5" spans="2:7" ht="15.75">
      <c r="B5" s="3" t="s">
        <v>3</v>
      </c>
      <c r="C5" s="4">
        <v>4</v>
      </c>
      <c r="D5" s="2" t="s">
        <v>4</v>
      </c>
      <c r="E5" s="2" t="s">
        <v>16</v>
      </c>
      <c r="F5" s="2"/>
      <c r="G5" s="2"/>
    </row>
    <row r="6" spans="2:7" ht="15.75">
      <c r="B6" s="3"/>
      <c r="C6" s="4"/>
      <c r="D6" s="2" t="s">
        <v>5</v>
      </c>
      <c r="E6" s="2" t="s">
        <v>16</v>
      </c>
      <c r="F6" s="2"/>
      <c r="G6" s="2"/>
    </row>
    <row r="7" spans="1:10" ht="39" customHeight="1">
      <c r="A7" s="21" t="s">
        <v>61</v>
      </c>
      <c r="B7" s="232" t="s">
        <v>140</v>
      </c>
      <c r="C7" s="233"/>
      <c r="D7" s="234"/>
      <c r="E7" s="11" t="s">
        <v>6</v>
      </c>
      <c r="F7" s="11" t="s">
        <v>7</v>
      </c>
      <c r="G7" s="85" t="s">
        <v>22</v>
      </c>
      <c r="H7" s="235" t="s">
        <v>141</v>
      </c>
      <c r="I7" s="236"/>
      <c r="J7" s="237"/>
    </row>
    <row r="8" spans="1:10" ht="15.75">
      <c r="A8" s="22">
        <v>1</v>
      </c>
      <c r="B8" s="222"/>
      <c r="C8" s="223"/>
      <c r="D8" s="223"/>
      <c r="E8" s="223"/>
      <c r="F8" s="224"/>
      <c r="G8" s="86"/>
      <c r="H8" s="87" t="s">
        <v>142</v>
      </c>
      <c r="I8" s="88" t="s">
        <v>143</v>
      </c>
      <c r="J8" s="88" t="s">
        <v>144</v>
      </c>
    </row>
    <row r="9" spans="1:10" ht="15.75">
      <c r="A9" s="22"/>
      <c r="B9" s="222" t="s">
        <v>145</v>
      </c>
      <c r="C9" s="223"/>
      <c r="D9" s="223"/>
      <c r="E9" s="223"/>
      <c r="F9" s="224"/>
      <c r="G9" s="89"/>
      <c r="H9" s="89"/>
      <c r="I9" s="57"/>
      <c r="J9" s="88"/>
    </row>
    <row r="10" spans="1:10" ht="15.75">
      <c r="A10" s="90"/>
      <c r="B10" s="221" t="s">
        <v>146</v>
      </c>
      <c r="C10" s="221"/>
      <c r="D10" s="221"/>
      <c r="E10" s="221"/>
      <c r="F10" s="221"/>
      <c r="G10" s="15"/>
      <c r="H10" s="91">
        <v>303460.97</v>
      </c>
      <c r="I10" s="76"/>
      <c r="J10" s="92">
        <f>H10+I10</f>
        <v>303460.97</v>
      </c>
    </row>
    <row r="11" spans="1:10" ht="15.75">
      <c r="A11" s="90"/>
      <c r="B11" s="221" t="s">
        <v>147</v>
      </c>
      <c r="C11" s="221"/>
      <c r="D11" s="221"/>
      <c r="E11" s="221"/>
      <c r="F11" s="221"/>
      <c r="G11" s="15"/>
      <c r="H11" s="16">
        <v>23267.41</v>
      </c>
      <c r="I11" s="76"/>
      <c r="J11" s="92">
        <f>H11+I11</f>
        <v>23267.41</v>
      </c>
    </row>
    <row r="12" spans="1:10" ht="15.75">
      <c r="A12" s="22"/>
      <c r="B12" s="221" t="s">
        <v>148</v>
      </c>
      <c r="C12" s="221"/>
      <c r="D12" s="221"/>
      <c r="E12" s="221"/>
      <c r="F12" s="221"/>
      <c r="G12" s="15"/>
      <c r="H12" s="91"/>
      <c r="I12" s="76">
        <v>0</v>
      </c>
      <c r="J12" s="92">
        <f>H12+I12</f>
        <v>0</v>
      </c>
    </row>
    <row r="13" spans="1:10" ht="15.75">
      <c r="A13" s="22"/>
      <c r="B13" s="221" t="s">
        <v>149</v>
      </c>
      <c r="C13" s="221"/>
      <c r="D13" s="221"/>
      <c r="E13" s="221"/>
      <c r="F13" s="221"/>
      <c r="G13" s="15"/>
      <c r="H13" s="91">
        <v>0</v>
      </c>
      <c r="I13" s="93">
        <v>0</v>
      </c>
      <c r="J13" s="92">
        <f>H13+I13</f>
        <v>0</v>
      </c>
    </row>
    <row r="14" spans="1:10" ht="15.75">
      <c r="A14" s="22"/>
      <c r="B14" s="204" t="s">
        <v>150</v>
      </c>
      <c r="C14" s="204"/>
      <c r="D14" s="204"/>
      <c r="E14" s="204"/>
      <c r="F14" s="204"/>
      <c r="G14" s="15"/>
      <c r="H14" s="41">
        <f>SUM(H10:H13)</f>
        <v>326728.37999999995</v>
      </c>
      <c r="I14" s="41">
        <f>SUM(I10:I13)</f>
        <v>0</v>
      </c>
      <c r="J14" s="41">
        <f>SUM(J10:J13)</f>
        <v>326728.37999999995</v>
      </c>
    </row>
    <row r="15" spans="1:10" ht="18.75">
      <c r="A15" s="22">
        <v>2</v>
      </c>
      <c r="B15" s="226" t="s">
        <v>74</v>
      </c>
      <c r="C15" s="226"/>
      <c r="D15" s="226"/>
      <c r="E15" s="226"/>
      <c r="F15" s="226"/>
      <c r="G15" s="15"/>
      <c r="H15" s="91"/>
      <c r="I15" s="76"/>
      <c r="J15" s="34"/>
    </row>
    <row r="16" spans="1:10" ht="15.75">
      <c r="A16" s="22" t="s">
        <v>151</v>
      </c>
      <c r="B16" s="18" t="s">
        <v>75</v>
      </c>
      <c r="C16" s="18"/>
      <c r="D16" s="18"/>
      <c r="E16" s="18"/>
      <c r="F16" s="5"/>
      <c r="G16" s="87"/>
      <c r="H16" s="87"/>
      <c r="I16" s="84"/>
      <c r="J16" s="88"/>
    </row>
    <row r="17" spans="1:10" ht="33" customHeight="1">
      <c r="A17" s="95"/>
      <c r="B17" s="230" t="s">
        <v>137</v>
      </c>
      <c r="C17" s="230"/>
      <c r="D17" s="230"/>
      <c r="E17" s="96" t="s">
        <v>32</v>
      </c>
      <c r="F17" s="79" t="s">
        <v>24</v>
      </c>
      <c r="G17" s="80">
        <v>1.06</v>
      </c>
      <c r="H17" s="97">
        <f>ROUND(G17*$E$3*12,2)</f>
        <v>34193.9</v>
      </c>
      <c r="I17" s="98">
        <f>$I$12*0.08</f>
        <v>0</v>
      </c>
      <c r="J17" s="99">
        <f>SUM(H17:I17)</f>
        <v>34193.9</v>
      </c>
    </row>
    <row r="18" spans="1:10" ht="17.25" customHeight="1">
      <c r="A18" s="22"/>
      <c r="B18" s="183" t="s">
        <v>17</v>
      </c>
      <c r="C18" s="183"/>
      <c r="D18" s="183"/>
      <c r="E18" s="96" t="s">
        <v>32</v>
      </c>
      <c r="F18" s="79" t="s">
        <v>19</v>
      </c>
      <c r="G18" s="80">
        <v>0.28</v>
      </c>
      <c r="H18" s="97">
        <f>ROUND(G18*$E$3*12,2)</f>
        <v>9032.35</v>
      </c>
      <c r="I18" s="98">
        <f>$I$12*0.02</f>
        <v>0</v>
      </c>
      <c r="J18" s="99">
        <f>SUM(H18:I18)</f>
        <v>9032.35</v>
      </c>
    </row>
    <row r="19" spans="1:10" ht="20.25" customHeight="1">
      <c r="A19" s="22"/>
      <c r="B19" s="229" t="s">
        <v>23</v>
      </c>
      <c r="C19" s="229"/>
      <c r="D19" s="229"/>
      <c r="E19" s="100" t="s">
        <v>152</v>
      </c>
      <c r="F19" s="81" t="s">
        <v>20</v>
      </c>
      <c r="G19" s="80">
        <v>0.39</v>
      </c>
      <c r="H19" s="97">
        <f>J19-I19</f>
        <v>9915.99</v>
      </c>
      <c r="I19" s="98">
        <f>$I$12*0.07</f>
        <v>0</v>
      </c>
      <c r="J19" s="101">
        <v>9915.99</v>
      </c>
    </row>
    <row r="20" spans="1:10" ht="20.25" customHeight="1">
      <c r="A20" s="95"/>
      <c r="B20" s="230" t="s">
        <v>31</v>
      </c>
      <c r="C20" s="230"/>
      <c r="D20" s="230"/>
      <c r="E20" s="102" t="s">
        <v>9</v>
      </c>
      <c r="F20" s="82" t="s">
        <v>10</v>
      </c>
      <c r="G20" s="80">
        <v>0.51</v>
      </c>
      <c r="H20" s="97">
        <f>ROUND(G20*$E$3*12,2)</f>
        <v>16451.78</v>
      </c>
      <c r="I20" s="98">
        <f>$I$12*0.04</f>
        <v>0</v>
      </c>
      <c r="J20" s="99">
        <f>SUM(H20:I20)</f>
        <v>16451.78</v>
      </c>
    </row>
    <row r="21" spans="1:10" ht="64.5" customHeight="1">
      <c r="A21" s="22"/>
      <c r="B21" s="229" t="s">
        <v>27</v>
      </c>
      <c r="C21" s="229"/>
      <c r="D21" s="229"/>
      <c r="E21" s="100" t="s">
        <v>153</v>
      </c>
      <c r="F21" s="81" t="s">
        <v>25</v>
      </c>
      <c r="G21" s="80">
        <v>0.12</v>
      </c>
      <c r="H21" s="97">
        <f>J21-I21</f>
        <v>3971.36</v>
      </c>
      <c r="I21" s="98">
        <f>$I$12*0.01</f>
        <v>0</v>
      </c>
      <c r="J21" s="101">
        <v>3971.36</v>
      </c>
    </row>
    <row r="22" spans="1:10" ht="20.25" customHeight="1">
      <c r="A22" s="95"/>
      <c r="B22" s="229" t="s">
        <v>11</v>
      </c>
      <c r="C22" s="229"/>
      <c r="D22" s="229"/>
      <c r="E22" s="100" t="s">
        <v>9</v>
      </c>
      <c r="F22" s="81" t="s">
        <v>12</v>
      </c>
      <c r="G22" s="80">
        <v>0</v>
      </c>
      <c r="H22" s="97">
        <f>J22-I22</f>
        <v>0</v>
      </c>
      <c r="I22" s="98">
        <f>$I$12*0.15</f>
        <v>0</v>
      </c>
      <c r="J22" s="101">
        <f>G22*E3*12</f>
        <v>0</v>
      </c>
    </row>
    <row r="23" spans="1:10" ht="20.25" customHeight="1">
      <c r="A23" s="95"/>
      <c r="B23" s="229" t="s">
        <v>26</v>
      </c>
      <c r="C23" s="185"/>
      <c r="D23" s="185"/>
      <c r="E23" s="103" t="s">
        <v>13</v>
      </c>
      <c r="F23" s="78" t="s">
        <v>14</v>
      </c>
      <c r="G23" s="80">
        <v>0.05</v>
      </c>
      <c r="H23" s="97">
        <f>J23-I23</f>
        <v>3257.4</v>
      </c>
      <c r="I23" s="98">
        <f>$I$12*0.003</f>
        <v>0</v>
      </c>
      <c r="J23" s="101">
        <v>3257.4</v>
      </c>
    </row>
    <row r="24" spans="1:10" ht="28.5" customHeight="1">
      <c r="A24" s="22"/>
      <c r="B24" s="229" t="s">
        <v>154</v>
      </c>
      <c r="C24" s="229"/>
      <c r="D24" s="229"/>
      <c r="E24" s="96" t="s">
        <v>36</v>
      </c>
      <c r="F24" s="39" t="s">
        <v>81</v>
      </c>
      <c r="G24" s="80">
        <v>2.15</v>
      </c>
      <c r="H24" s="97">
        <f aca="true" t="shared" si="0" ref="H24:H29">ROUND(G24*$E$3*12,2)</f>
        <v>69355.56</v>
      </c>
      <c r="I24" s="98">
        <f>$I$12*0.19</f>
        <v>0</v>
      </c>
      <c r="J24" s="99">
        <f aca="true" t="shared" si="1" ref="J24:J29">SUM(H24:I24)</f>
        <v>69355.56</v>
      </c>
    </row>
    <row r="25" spans="1:10" ht="26.25" customHeight="1">
      <c r="A25" s="22"/>
      <c r="B25" s="183" t="s">
        <v>15</v>
      </c>
      <c r="C25" s="183"/>
      <c r="D25" s="183"/>
      <c r="E25" s="96" t="s">
        <v>36</v>
      </c>
      <c r="F25" s="39" t="s">
        <v>81</v>
      </c>
      <c r="G25" s="80">
        <v>0.44</v>
      </c>
      <c r="H25" s="104">
        <f>ROUND(G25*$E$3*0,2)</f>
        <v>0</v>
      </c>
      <c r="I25" s="98">
        <v>0</v>
      </c>
      <c r="J25" s="99">
        <f t="shared" si="1"/>
        <v>0</v>
      </c>
    </row>
    <row r="26" spans="1:10" ht="30" customHeight="1">
      <c r="A26" s="22"/>
      <c r="B26" s="206" t="s">
        <v>37</v>
      </c>
      <c r="C26" s="187"/>
      <c r="D26" s="188"/>
      <c r="E26" s="96" t="s">
        <v>36</v>
      </c>
      <c r="F26" s="39" t="s">
        <v>81</v>
      </c>
      <c r="G26" s="36">
        <f>3.46-G27-G28</f>
        <v>3.46</v>
      </c>
      <c r="H26" s="104">
        <f t="shared" si="0"/>
        <v>111614.06</v>
      </c>
      <c r="I26" s="105">
        <f>$I$12*0.18</f>
        <v>0</v>
      </c>
      <c r="J26" s="99">
        <f t="shared" si="1"/>
        <v>111614.06</v>
      </c>
    </row>
    <row r="27" spans="1:10" ht="26.25" customHeight="1">
      <c r="A27" s="95"/>
      <c r="B27" s="229" t="s">
        <v>155</v>
      </c>
      <c r="C27" s="229"/>
      <c r="D27" s="229"/>
      <c r="E27" s="96" t="s">
        <v>36</v>
      </c>
      <c r="F27" s="39" t="s">
        <v>81</v>
      </c>
      <c r="G27" s="36">
        <v>0</v>
      </c>
      <c r="H27" s="104">
        <f t="shared" si="0"/>
        <v>0</v>
      </c>
      <c r="I27" s="105">
        <f>$I$12*0.02</f>
        <v>0</v>
      </c>
      <c r="J27" s="99">
        <f t="shared" si="1"/>
        <v>0</v>
      </c>
    </row>
    <row r="28" spans="1:10" ht="17.25" customHeight="1">
      <c r="A28" s="22"/>
      <c r="B28" s="229" t="s">
        <v>156</v>
      </c>
      <c r="C28" s="229"/>
      <c r="D28" s="229"/>
      <c r="E28" s="100" t="s">
        <v>9</v>
      </c>
      <c r="F28" s="39" t="s">
        <v>81</v>
      </c>
      <c r="G28" s="36">
        <v>0</v>
      </c>
      <c r="H28" s="104">
        <f t="shared" si="0"/>
        <v>0</v>
      </c>
      <c r="I28" s="105">
        <f>$I$12*0.02</f>
        <v>0</v>
      </c>
      <c r="J28" s="99">
        <f t="shared" si="1"/>
        <v>0</v>
      </c>
    </row>
    <row r="29" spans="1:10" ht="30" customHeight="1">
      <c r="A29" s="22"/>
      <c r="B29" s="185" t="s">
        <v>21</v>
      </c>
      <c r="C29" s="185"/>
      <c r="D29" s="185"/>
      <c r="E29" s="100" t="s">
        <v>36</v>
      </c>
      <c r="F29" s="39" t="s">
        <v>81</v>
      </c>
      <c r="G29" s="78">
        <v>1.06</v>
      </c>
      <c r="H29" s="97">
        <f t="shared" si="0"/>
        <v>34193.9</v>
      </c>
      <c r="I29" s="98">
        <f>$I$12*0.1</f>
        <v>0</v>
      </c>
      <c r="J29" s="99">
        <f t="shared" si="1"/>
        <v>34193.9</v>
      </c>
    </row>
    <row r="30" spans="1:10" ht="15.75">
      <c r="A30" s="22"/>
      <c r="B30" s="192"/>
      <c r="C30" s="193"/>
      <c r="D30" s="194"/>
      <c r="E30" s="100"/>
      <c r="F30" s="39"/>
      <c r="G30" s="78"/>
      <c r="H30" s="104"/>
      <c r="I30" s="93"/>
      <c r="J30" s="106"/>
    </row>
    <row r="31" spans="1:10" ht="15.75">
      <c r="A31" s="22"/>
      <c r="B31" s="192"/>
      <c r="C31" s="193"/>
      <c r="D31" s="194"/>
      <c r="E31" s="100"/>
      <c r="F31" s="39"/>
      <c r="G31" s="78"/>
      <c r="H31" s="104"/>
      <c r="I31" s="93"/>
      <c r="J31" s="106"/>
    </row>
    <row r="32" spans="1:10" ht="15.75">
      <c r="A32" s="22"/>
      <c r="B32" s="212" t="s">
        <v>30</v>
      </c>
      <c r="C32" s="212"/>
      <c r="D32" s="212"/>
      <c r="E32" s="14"/>
      <c r="F32" s="39"/>
      <c r="G32" s="20">
        <f>SUM(G17:G29)</f>
        <v>9.520000000000001</v>
      </c>
      <c r="H32" s="45">
        <f>SUM(H17:H31)</f>
        <v>291986.3</v>
      </c>
      <c r="I32" s="107">
        <f>SUM(I17:I31)</f>
        <v>0</v>
      </c>
      <c r="J32" s="45">
        <f>SUM(J17:J31)</f>
        <v>291986.3</v>
      </c>
    </row>
    <row r="33" spans="1:10" ht="21.75" customHeight="1">
      <c r="A33" s="22"/>
      <c r="B33" s="186" t="s">
        <v>157</v>
      </c>
      <c r="C33" s="187"/>
      <c r="D33" s="188"/>
      <c r="E33" s="100" t="s">
        <v>9</v>
      </c>
      <c r="F33" s="39"/>
      <c r="G33" s="78"/>
      <c r="H33" s="104"/>
      <c r="I33" s="93"/>
      <c r="J33" s="106"/>
    </row>
    <row r="34" spans="1:10" ht="27.75" customHeight="1">
      <c r="A34" s="22"/>
      <c r="B34" s="186" t="s">
        <v>158</v>
      </c>
      <c r="C34" s="187"/>
      <c r="D34" s="188"/>
      <c r="E34" s="96" t="s">
        <v>36</v>
      </c>
      <c r="F34" s="39"/>
      <c r="G34" s="78"/>
      <c r="H34" s="104"/>
      <c r="I34" s="93"/>
      <c r="J34" s="106"/>
    </row>
    <row r="35" spans="1:10" ht="15.75">
      <c r="A35" s="22"/>
      <c r="B35" s="192"/>
      <c r="C35" s="193"/>
      <c r="D35" s="194"/>
      <c r="E35" s="100"/>
      <c r="F35" s="39"/>
      <c r="G35" s="78"/>
      <c r="H35" s="104"/>
      <c r="I35" s="93"/>
      <c r="J35" s="106"/>
    </row>
    <row r="36" spans="1:10" ht="15" customHeight="1">
      <c r="A36" s="22" t="s">
        <v>159</v>
      </c>
      <c r="B36" s="195" t="s">
        <v>160</v>
      </c>
      <c r="C36" s="189"/>
      <c r="D36" s="189"/>
      <c r="E36" s="184"/>
      <c r="F36" s="39" t="s">
        <v>81</v>
      </c>
      <c r="G36" s="23">
        <f>H36/E3/12</f>
        <v>0.22928911539319993</v>
      </c>
      <c r="H36" s="108">
        <v>7396.5</v>
      </c>
      <c r="I36" s="109">
        <v>0</v>
      </c>
      <c r="J36" s="41">
        <f>SUM(H36:I36)</f>
        <v>7396.5</v>
      </c>
    </row>
    <row r="37" spans="1:10" ht="14.25" customHeight="1">
      <c r="A37" s="25"/>
      <c r="B37" s="190" t="s">
        <v>76</v>
      </c>
      <c r="C37" s="190"/>
      <c r="D37" s="190"/>
      <c r="E37" s="190"/>
      <c r="F37" s="190"/>
      <c r="G37" s="20">
        <f>SUM(G32:G36)</f>
        <v>9.749289115393202</v>
      </c>
      <c r="H37" s="46">
        <f>SUM(H32:H36)</f>
        <v>299382.8</v>
      </c>
      <c r="I37" s="110">
        <f>SUM(I32:I36)</f>
        <v>0</v>
      </c>
      <c r="J37" s="46">
        <f>SUM(J32:J36)</f>
        <v>299382.8</v>
      </c>
    </row>
    <row r="38" spans="1:10" ht="15.75">
      <c r="A38" s="22" t="s">
        <v>161</v>
      </c>
      <c r="B38" s="227" t="s">
        <v>162</v>
      </c>
      <c r="C38" s="227"/>
      <c r="D38" s="227"/>
      <c r="E38" s="227"/>
      <c r="F38" s="227"/>
      <c r="G38" s="23"/>
      <c r="H38" s="111">
        <v>0</v>
      </c>
      <c r="I38" s="111">
        <v>0</v>
      </c>
      <c r="J38" s="112">
        <f>SUM(H38:I38)</f>
        <v>0</v>
      </c>
    </row>
    <row r="39" spans="1:10" ht="24.75" customHeight="1">
      <c r="A39" s="25"/>
      <c r="B39" s="190" t="s">
        <v>163</v>
      </c>
      <c r="C39" s="190"/>
      <c r="D39" s="190"/>
      <c r="E39" s="190"/>
      <c r="F39" s="190"/>
      <c r="G39" s="20">
        <f>SUM(G37:G38)</f>
        <v>9.749289115393202</v>
      </c>
      <c r="H39" s="46">
        <f>SUM(H37:H38)</f>
        <v>299382.8</v>
      </c>
      <c r="I39" s="110">
        <f>SUM(I37:I38)</f>
        <v>0</v>
      </c>
      <c r="J39" s="46">
        <f>SUM(J37:J38)</f>
        <v>299382.8</v>
      </c>
    </row>
    <row r="40" spans="1:10" ht="27" customHeight="1">
      <c r="A40" s="22">
        <v>3</v>
      </c>
      <c r="B40" s="206" t="s">
        <v>212</v>
      </c>
      <c r="C40" s="207"/>
      <c r="D40" s="207"/>
      <c r="E40" s="207"/>
      <c r="F40" s="207"/>
      <c r="G40" s="208"/>
      <c r="H40" s="97">
        <f>H14-H39</f>
        <v>27345.579999999958</v>
      </c>
      <c r="I40" s="97">
        <f>I14-I39</f>
        <v>0</v>
      </c>
      <c r="J40" s="113">
        <f>J14-J39</f>
        <v>27345.579999999958</v>
      </c>
    </row>
    <row r="41" spans="2:9" ht="23.25" customHeight="1">
      <c r="B41" s="191" t="s">
        <v>198</v>
      </c>
      <c r="C41" s="191"/>
      <c r="D41" s="191"/>
      <c r="E41" s="191"/>
      <c r="F41" s="191"/>
      <c r="G41" s="191"/>
      <c r="H41" s="191"/>
      <c r="I41" s="191"/>
    </row>
    <row r="42" spans="2:4" ht="23.25" customHeight="1">
      <c r="B42" s="33"/>
      <c r="C42" s="33"/>
      <c r="D42" s="33"/>
    </row>
    <row r="43" spans="2:6" ht="15.75">
      <c r="B43" s="48" t="s">
        <v>213</v>
      </c>
      <c r="C43" s="48"/>
      <c r="D43" s="48"/>
      <c r="E43" s="48"/>
      <c r="F43" s="48"/>
    </row>
    <row r="44" spans="2:4" ht="15.75" customHeight="1">
      <c r="B44" s="201" t="s">
        <v>85</v>
      </c>
      <c r="C44" s="201"/>
      <c r="D44" s="201"/>
    </row>
  </sheetData>
  <sheetProtection/>
  <mergeCells count="38">
    <mergeCell ref="A1:J1"/>
    <mergeCell ref="A2:J2"/>
    <mergeCell ref="B7:D7"/>
    <mergeCell ref="H7:J7"/>
    <mergeCell ref="B8:F8"/>
    <mergeCell ref="B9:F9"/>
    <mergeCell ref="B10:F10"/>
    <mergeCell ref="B11:F11"/>
    <mergeCell ref="B12:F12"/>
    <mergeCell ref="B13:F13"/>
    <mergeCell ref="B14:F14"/>
    <mergeCell ref="B15:F15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26:D26"/>
    <mergeCell ref="B27:D27"/>
    <mergeCell ref="B28:D28"/>
    <mergeCell ref="B29:D29"/>
    <mergeCell ref="B30:D30"/>
    <mergeCell ref="B31:D31"/>
    <mergeCell ref="B32:D32"/>
    <mergeCell ref="B36:E36"/>
    <mergeCell ref="B37:F37"/>
    <mergeCell ref="B44:D44"/>
    <mergeCell ref="B33:D33"/>
    <mergeCell ref="B34:D34"/>
    <mergeCell ref="B35:D35"/>
    <mergeCell ref="B38:F38"/>
    <mergeCell ref="B39:F39"/>
    <mergeCell ref="B40:G40"/>
    <mergeCell ref="B41:I41"/>
  </mergeCells>
  <printOptions/>
  <pageMargins left="0" right="0" top="0" bottom="0" header="0.5118110236220472" footer="0.5118110236220472"/>
  <pageSetup horizontalDpi="600" verticalDpi="6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28">
      <selection activeCell="A1" sqref="A1:H35"/>
    </sheetView>
  </sheetViews>
  <sheetFormatPr defaultColWidth="9.00390625" defaultRowHeight="15.75"/>
  <cols>
    <col min="1" max="1" width="7.875" style="0" customWidth="1"/>
    <col min="2" max="2" width="26.625" style="0" customWidth="1"/>
    <col min="3" max="3" width="3.50390625" style="0" customWidth="1"/>
    <col min="4" max="4" width="18.625" style="0" customWidth="1"/>
    <col min="5" max="5" width="19.25390625" style="0" customWidth="1"/>
    <col min="6" max="6" width="18.00390625" style="0" hidden="1" customWidth="1"/>
    <col min="7" max="7" width="7.375" style="0" hidden="1" customWidth="1"/>
    <col min="8" max="8" width="11.75390625" style="0" customWidth="1"/>
  </cols>
  <sheetData>
    <row r="1" spans="1:8" ht="123.75" customHeight="1">
      <c r="A1" s="196" t="s">
        <v>214</v>
      </c>
      <c r="B1" s="196"/>
      <c r="C1" s="196"/>
      <c r="D1" s="196"/>
      <c r="E1" s="196"/>
      <c r="F1" s="196"/>
      <c r="G1" s="196"/>
      <c r="H1" s="196"/>
    </row>
    <row r="2" spans="1:6" ht="18.75">
      <c r="A2" s="1" t="s">
        <v>82</v>
      </c>
      <c r="B2" s="1" t="s">
        <v>83</v>
      </c>
      <c r="C2" s="2"/>
      <c r="D2" s="2" t="s">
        <v>0</v>
      </c>
      <c r="E2" s="26">
        <v>2688.2</v>
      </c>
      <c r="F2" s="2"/>
    </row>
    <row r="3" spans="2:6" ht="15.75">
      <c r="B3" s="3" t="s">
        <v>1</v>
      </c>
      <c r="C3" s="35">
        <v>5</v>
      </c>
      <c r="D3" s="2" t="s">
        <v>2</v>
      </c>
      <c r="E3" s="27">
        <v>60</v>
      </c>
      <c r="F3" s="2"/>
    </row>
    <row r="4" spans="2:7" ht="15.75">
      <c r="B4" s="3" t="s">
        <v>3</v>
      </c>
      <c r="C4" s="4">
        <v>4</v>
      </c>
      <c r="D4" s="2" t="s">
        <v>4</v>
      </c>
      <c r="E4" s="2" t="s">
        <v>16</v>
      </c>
      <c r="F4" s="2"/>
      <c r="G4" s="2"/>
    </row>
    <row r="5" spans="2:7" ht="16.5" thickBot="1">
      <c r="B5" s="3"/>
      <c r="C5" s="4"/>
      <c r="D5" s="2" t="s">
        <v>5</v>
      </c>
      <c r="E5" s="2" t="s">
        <v>16</v>
      </c>
      <c r="F5" s="2"/>
      <c r="G5" s="2"/>
    </row>
    <row r="6" spans="1:8" ht="42.75" customHeight="1">
      <c r="A6" s="73" t="s">
        <v>61</v>
      </c>
      <c r="B6" s="242" t="s">
        <v>140</v>
      </c>
      <c r="C6" s="243"/>
      <c r="D6" s="244"/>
      <c r="E6" s="74" t="s">
        <v>6</v>
      </c>
      <c r="F6" s="74" t="s">
        <v>7</v>
      </c>
      <c r="G6" s="129" t="s">
        <v>200</v>
      </c>
      <c r="H6" s="130" t="s">
        <v>134</v>
      </c>
    </row>
    <row r="7" spans="1:8" ht="15.75" customHeight="1">
      <c r="A7" s="75">
        <v>1</v>
      </c>
      <c r="B7" s="245" t="s">
        <v>135</v>
      </c>
      <c r="C7" s="245"/>
      <c r="D7" s="245"/>
      <c r="E7" s="245"/>
      <c r="F7" s="245"/>
      <c r="G7" s="76"/>
      <c r="H7" s="131"/>
    </row>
    <row r="8" spans="1:8" ht="15.75" customHeight="1">
      <c r="A8" s="75"/>
      <c r="B8" s="204" t="s">
        <v>201</v>
      </c>
      <c r="C8" s="204"/>
      <c r="D8" s="204"/>
      <c r="E8" s="204"/>
      <c r="F8" s="204"/>
      <c r="G8" s="23">
        <f>G30</f>
        <v>10.89</v>
      </c>
      <c r="H8" s="131">
        <f>ROUND($E$2*G8*12,0)</f>
        <v>351294</v>
      </c>
    </row>
    <row r="9" spans="1:8" ht="15.75" customHeight="1">
      <c r="A9" s="75"/>
      <c r="B9" s="238" t="s">
        <v>136</v>
      </c>
      <c r="C9" s="238"/>
      <c r="D9" s="238"/>
      <c r="E9" s="238"/>
      <c r="F9" s="238"/>
      <c r="G9" s="22">
        <v>0.78</v>
      </c>
      <c r="H9" s="131">
        <f>ROUND($E$2*G9*12,0)</f>
        <v>25162</v>
      </c>
    </row>
    <row r="10" spans="1:8" ht="18.75" customHeight="1">
      <c r="A10" s="75">
        <v>2</v>
      </c>
      <c r="B10" s="226" t="s">
        <v>74</v>
      </c>
      <c r="C10" s="226"/>
      <c r="D10" s="226"/>
      <c r="E10" s="226"/>
      <c r="F10" s="226"/>
      <c r="G10" s="78"/>
      <c r="H10" s="131"/>
    </row>
    <row r="11" spans="1:8" ht="15.75" customHeight="1">
      <c r="A11" s="75"/>
      <c r="B11" s="18" t="s">
        <v>75</v>
      </c>
      <c r="C11" s="18"/>
      <c r="D11" s="18"/>
      <c r="E11" s="18"/>
      <c r="F11" s="5"/>
      <c r="G11" s="89"/>
      <c r="H11" s="131"/>
    </row>
    <row r="12" spans="1:8" ht="32.25" customHeight="1">
      <c r="A12" s="132"/>
      <c r="B12" s="256" t="s">
        <v>215</v>
      </c>
      <c r="C12" s="240"/>
      <c r="D12" s="240"/>
      <c r="E12" s="96" t="s">
        <v>32</v>
      </c>
      <c r="F12" s="79" t="s">
        <v>24</v>
      </c>
      <c r="G12" s="80">
        <v>1.09</v>
      </c>
      <c r="H12" s="77">
        <f aca="true" t="shared" si="0" ref="H12:H30">ROUND($E$2*G12*12,0)</f>
        <v>35162</v>
      </c>
    </row>
    <row r="13" spans="1:8" ht="15.75" customHeight="1">
      <c r="A13" s="132"/>
      <c r="B13" s="240" t="s">
        <v>17</v>
      </c>
      <c r="C13" s="240"/>
      <c r="D13" s="240"/>
      <c r="E13" s="96" t="s">
        <v>32</v>
      </c>
      <c r="F13" s="79" t="s">
        <v>19</v>
      </c>
      <c r="G13" s="80">
        <v>0.29</v>
      </c>
      <c r="H13" s="77">
        <f t="shared" si="0"/>
        <v>9355</v>
      </c>
    </row>
    <row r="14" spans="1:8" ht="15.75" customHeight="1">
      <c r="A14" s="132"/>
      <c r="B14" s="239" t="s">
        <v>23</v>
      </c>
      <c r="C14" s="239"/>
      <c r="D14" s="239"/>
      <c r="E14" s="100" t="s">
        <v>152</v>
      </c>
      <c r="F14" s="81" t="s">
        <v>20</v>
      </c>
      <c r="G14" s="80">
        <v>0.4</v>
      </c>
      <c r="H14" s="77">
        <f t="shared" si="0"/>
        <v>12903</v>
      </c>
    </row>
    <row r="15" spans="1:8" ht="18.75" customHeight="1">
      <c r="A15" s="132"/>
      <c r="B15" s="246" t="s">
        <v>31</v>
      </c>
      <c r="C15" s="246"/>
      <c r="D15" s="246"/>
      <c r="E15" s="102" t="s">
        <v>9</v>
      </c>
      <c r="F15" s="82" t="s">
        <v>10</v>
      </c>
      <c r="G15" s="80">
        <v>0.53</v>
      </c>
      <c r="H15" s="77">
        <f t="shared" si="0"/>
        <v>17097</v>
      </c>
    </row>
    <row r="16" spans="1:8" ht="51">
      <c r="A16" s="132"/>
      <c r="B16" s="239" t="s">
        <v>27</v>
      </c>
      <c r="C16" s="239"/>
      <c r="D16" s="239"/>
      <c r="E16" s="100" t="s">
        <v>153</v>
      </c>
      <c r="F16" s="81" t="s">
        <v>25</v>
      </c>
      <c r="G16" s="80">
        <v>0.12</v>
      </c>
      <c r="H16" s="77">
        <f t="shared" si="0"/>
        <v>3871</v>
      </c>
    </row>
    <row r="17" spans="1:8" ht="22.5" customHeight="1">
      <c r="A17" s="132"/>
      <c r="B17" s="239" t="s">
        <v>11</v>
      </c>
      <c r="C17" s="239"/>
      <c r="D17" s="239"/>
      <c r="E17" s="100" t="s">
        <v>9</v>
      </c>
      <c r="F17" s="81" t="s">
        <v>12</v>
      </c>
      <c r="G17" s="80">
        <v>0</v>
      </c>
      <c r="H17" s="77">
        <f t="shared" si="0"/>
        <v>0</v>
      </c>
    </row>
    <row r="18" spans="1:8" ht="15.75" customHeight="1">
      <c r="A18" s="132"/>
      <c r="B18" s="239" t="s">
        <v>26</v>
      </c>
      <c r="C18" s="241"/>
      <c r="D18" s="241"/>
      <c r="E18" s="103" t="s">
        <v>13</v>
      </c>
      <c r="F18" s="78" t="s">
        <v>203</v>
      </c>
      <c r="G18" s="80">
        <v>0.05</v>
      </c>
      <c r="H18" s="77">
        <f t="shared" si="0"/>
        <v>1613</v>
      </c>
    </row>
    <row r="19" spans="1:8" ht="31.5" customHeight="1">
      <c r="A19" s="132"/>
      <c r="B19" s="239" t="s">
        <v>154</v>
      </c>
      <c r="C19" s="239"/>
      <c r="D19" s="239"/>
      <c r="E19" s="96" t="s">
        <v>36</v>
      </c>
      <c r="F19" s="81" t="s">
        <v>81</v>
      </c>
      <c r="G19" s="80">
        <v>2.21</v>
      </c>
      <c r="H19" s="77">
        <f t="shared" si="0"/>
        <v>71291</v>
      </c>
    </row>
    <row r="20" spans="1:8" ht="43.5" customHeight="1">
      <c r="A20" s="132"/>
      <c r="B20" s="240" t="s">
        <v>15</v>
      </c>
      <c r="C20" s="240"/>
      <c r="D20" s="240"/>
      <c r="E20" s="96" t="s">
        <v>138</v>
      </c>
      <c r="F20" s="81" t="s">
        <v>81</v>
      </c>
      <c r="G20" s="80">
        <v>0.45</v>
      </c>
      <c r="H20" s="77">
        <f>ROUND($E$2*G20*0,0)</f>
        <v>0</v>
      </c>
    </row>
    <row r="21" spans="1:8" ht="33" customHeight="1">
      <c r="A21" s="132"/>
      <c r="B21" s="239" t="s">
        <v>37</v>
      </c>
      <c r="C21" s="241"/>
      <c r="D21" s="241"/>
      <c r="E21" s="96" t="s">
        <v>36</v>
      </c>
      <c r="F21" s="81" t="s">
        <v>81</v>
      </c>
      <c r="G21" s="80">
        <f>3.57-G22-G23</f>
        <v>3.57</v>
      </c>
      <c r="H21" s="77">
        <f t="shared" si="0"/>
        <v>115162</v>
      </c>
    </row>
    <row r="22" spans="1:8" ht="21" customHeight="1">
      <c r="A22" s="132"/>
      <c r="B22" s="239" t="s">
        <v>204</v>
      </c>
      <c r="C22" s="239"/>
      <c r="D22" s="239"/>
      <c r="E22" s="100" t="s">
        <v>9</v>
      </c>
      <c r="F22" s="81" t="s">
        <v>81</v>
      </c>
      <c r="G22" s="80">
        <v>0</v>
      </c>
      <c r="H22" s="77">
        <f t="shared" si="0"/>
        <v>0</v>
      </c>
    </row>
    <row r="23" spans="1:8" ht="15.75" customHeight="1">
      <c r="A23" s="132"/>
      <c r="B23" s="239" t="s">
        <v>156</v>
      </c>
      <c r="C23" s="239"/>
      <c r="D23" s="239"/>
      <c r="E23" s="100" t="s">
        <v>9</v>
      </c>
      <c r="F23" s="81" t="s">
        <v>81</v>
      </c>
      <c r="G23" s="80">
        <v>0</v>
      </c>
      <c r="H23" s="77">
        <f t="shared" si="0"/>
        <v>0</v>
      </c>
    </row>
    <row r="24" spans="1:8" ht="29.25" customHeight="1">
      <c r="A24" s="132"/>
      <c r="B24" s="241" t="s">
        <v>21</v>
      </c>
      <c r="C24" s="241"/>
      <c r="D24" s="241"/>
      <c r="E24" s="96" t="s">
        <v>36</v>
      </c>
      <c r="F24" s="81" t="s">
        <v>81</v>
      </c>
      <c r="G24" s="80">
        <v>1.09</v>
      </c>
      <c r="H24" s="77">
        <f t="shared" si="0"/>
        <v>35162</v>
      </c>
    </row>
    <row r="25" spans="1:8" ht="15.75">
      <c r="A25" s="22"/>
      <c r="B25" s="186" t="s">
        <v>157</v>
      </c>
      <c r="C25" s="187"/>
      <c r="D25" s="188"/>
      <c r="E25" s="100" t="s">
        <v>9</v>
      </c>
      <c r="F25" s="81"/>
      <c r="G25" s="80"/>
      <c r="H25" s="77"/>
    </row>
    <row r="26" spans="1:8" ht="25.5">
      <c r="A26" s="22"/>
      <c r="B26" s="186" t="s">
        <v>158</v>
      </c>
      <c r="C26" s="187"/>
      <c r="D26" s="188"/>
      <c r="E26" s="96" t="s">
        <v>36</v>
      </c>
      <c r="F26" s="81"/>
      <c r="G26" s="80"/>
      <c r="H26" s="77"/>
    </row>
    <row r="27" spans="1:8" ht="12.75" customHeight="1">
      <c r="A27" s="132"/>
      <c r="B27" s="192"/>
      <c r="C27" s="193"/>
      <c r="D27" s="194"/>
      <c r="E27" s="96"/>
      <c r="F27" s="81"/>
      <c r="G27" s="80"/>
      <c r="H27" s="77"/>
    </row>
    <row r="28" spans="1:8" ht="15.75">
      <c r="A28" s="132"/>
      <c r="B28" s="251" t="s">
        <v>30</v>
      </c>
      <c r="C28" s="252"/>
      <c r="D28" s="253"/>
      <c r="E28" s="14"/>
      <c r="F28" s="81"/>
      <c r="G28" s="20">
        <f>SUM(G12:G27)</f>
        <v>9.8</v>
      </c>
      <c r="H28" s="77">
        <f t="shared" si="0"/>
        <v>316132</v>
      </c>
    </row>
    <row r="29" spans="1:8" ht="15.75">
      <c r="A29" s="75" t="s">
        <v>159</v>
      </c>
      <c r="B29" s="195" t="s">
        <v>216</v>
      </c>
      <c r="C29" s="189"/>
      <c r="D29" s="189"/>
      <c r="E29" s="184"/>
      <c r="F29" s="50" t="s">
        <v>139</v>
      </c>
      <c r="G29" s="23">
        <v>1.09</v>
      </c>
      <c r="H29" s="77">
        <v>4500</v>
      </c>
    </row>
    <row r="30" spans="1:8" ht="15.75">
      <c r="A30" s="75"/>
      <c r="B30" s="247" t="s">
        <v>206</v>
      </c>
      <c r="C30" s="247"/>
      <c r="D30" s="247"/>
      <c r="E30" s="247"/>
      <c r="F30" s="247"/>
      <c r="G30" s="20">
        <f>SUM(G28:G29)</f>
        <v>10.89</v>
      </c>
      <c r="H30" s="133">
        <f t="shared" si="0"/>
        <v>351294</v>
      </c>
    </row>
    <row r="31" spans="1:8" ht="16.5" thickBot="1">
      <c r="A31" s="134">
        <v>3</v>
      </c>
      <c r="B31" s="255" t="s">
        <v>217</v>
      </c>
      <c r="C31" s="249"/>
      <c r="D31" s="250"/>
      <c r="E31" s="135"/>
      <c r="F31" s="136" t="s">
        <v>139</v>
      </c>
      <c r="G31" s="83">
        <v>0.78</v>
      </c>
      <c r="H31" s="137">
        <f>ROUND($E$2*G31*12,0)</f>
        <v>25162</v>
      </c>
    </row>
    <row r="32" spans="1:8" ht="47.25" customHeight="1">
      <c r="A32" s="138"/>
      <c r="B32" s="254" t="s">
        <v>218</v>
      </c>
      <c r="C32" s="254"/>
      <c r="D32" s="254"/>
      <c r="E32" s="254"/>
      <c r="F32" s="139"/>
      <c r="G32" s="140"/>
      <c r="H32" s="138"/>
    </row>
    <row r="33" spans="1:8" ht="27.75" customHeight="1">
      <c r="A33" s="141" t="s">
        <v>219</v>
      </c>
      <c r="B33" s="141"/>
      <c r="C33" s="141"/>
      <c r="D33" s="141"/>
      <c r="E33" s="141"/>
      <c r="F33" s="141"/>
      <c r="G33" s="141"/>
      <c r="H33" s="138"/>
    </row>
    <row r="34" spans="2:5" ht="15.75">
      <c r="B34" s="33" t="s">
        <v>208</v>
      </c>
      <c r="C34" s="33"/>
      <c r="D34" s="33"/>
      <c r="E34" s="33"/>
    </row>
  </sheetData>
  <sheetProtection/>
  <mergeCells count="27">
    <mergeCell ref="B9:F9"/>
    <mergeCell ref="B10:F10"/>
    <mergeCell ref="A1:H1"/>
    <mergeCell ref="B6:D6"/>
    <mergeCell ref="B7:F7"/>
    <mergeCell ref="B8:F8"/>
    <mergeCell ref="B16:D16"/>
    <mergeCell ref="B17:D17"/>
    <mergeCell ref="B18:D18"/>
    <mergeCell ref="B19:D19"/>
    <mergeCell ref="B12:D12"/>
    <mergeCell ref="B13:D13"/>
    <mergeCell ref="B14:D14"/>
    <mergeCell ref="B15:D15"/>
    <mergeCell ref="B20:D20"/>
    <mergeCell ref="B21:D21"/>
    <mergeCell ref="B30:F30"/>
    <mergeCell ref="B31:D31"/>
    <mergeCell ref="B22:D22"/>
    <mergeCell ref="B23:D23"/>
    <mergeCell ref="B32:E32"/>
    <mergeCell ref="B24:D24"/>
    <mergeCell ref="B25:D25"/>
    <mergeCell ref="B26:D26"/>
    <mergeCell ref="B27:D27"/>
    <mergeCell ref="B28:D28"/>
    <mergeCell ref="B29:E29"/>
  </mergeCells>
  <printOptions/>
  <pageMargins left="0.15748031496062992" right="0" top="0" bottom="0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44"/>
  <sheetViews>
    <sheetView workbookViewId="0" topLeftCell="A1">
      <selection activeCell="I31" sqref="I31"/>
    </sheetView>
  </sheetViews>
  <sheetFormatPr defaultColWidth="9.00390625" defaultRowHeight="15.75"/>
  <cols>
    <col min="1" max="1" width="4.375" style="0" customWidth="1"/>
    <col min="2" max="2" width="25.125" style="0" customWidth="1"/>
    <col min="3" max="3" width="3.75390625" style="0" customWidth="1"/>
    <col min="4" max="4" width="23.875" style="0" customWidth="1"/>
    <col min="5" max="5" width="17.75390625" style="0" customWidth="1"/>
    <col min="6" max="6" width="0.12890625" style="0" hidden="1" customWidth="1"/>
    <col min="7" max="7" width="6.75390625" style="0" bestFit="1" customWidth="1"/>
    <col min="8" max="8" width="6.75390625" style="0" customWidth="1"/>
    <col min="9" max="9" width="11.625" style="0" bestFit="1" customWidth="1"/>
    <col min="10" max="10" width="10.875" style="0" customWidth="1"/>
    <col min="11" max="11" width="11.625" style="0" bestFit="1" customWidth="1"/>
  </cols>
  <sheetData>
    <row r="1" spans="1:11" ht="110.25" customHeight="1">
      <c r="A1" s="196" t="s">
        <v>210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</row>
    <row r="2" spans="1:11" ht="54" customHeight="1">
      <c r="A2" s="231" t="s">
        <v>211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</row>
    <row r="3" spans="1:6" ht="18.75">
      <c r="A3" s="1" t="s">
        <v>82</v>
      </c>
      <c r="B3" s="1" t="s">
        <v>83</v>
      </c>
      <c r="C3" s="2"/>
      <c r="D3" s="2" t="s">
        <v>0</v>
      </c>
      <c r="E3" s="26">
        <v>2688.2</v>
      </c>
      <c r="F3" s="2"/>
    </row>
    <row r="4" spans="2:6" ht="15.75">
      <c r="B4" s="3" t="s">
        <v>1</v>
      </c>
      <c r="C4" s="35">
        <v>5</v>
      </c>
      <c r="D4" s="2" t="s">
        <v>2</v>
      </c>
      <c r="E4" s="27">
        <v>60</v>
      </c>
      <c r="F4" s="2"/>
    </row>
    <row r="5" spans="2:8" ht="15.75">
      <c r="B5" s="3" t="s">
        <v>3</v>
      </c>
      <c r="C5" s="4">
        <v>4</v>
      </c>
      <c r="D5" s="2" t="s">
        <v>4</v>
      </c>
      <c r="E5" s="2" t="s">
        <v>16</v>
      </c>
      <c r="F5" s="2"/>
      <c r="G5" s="2"/>
      <c r="H5" s="2"/>
    </row>
    <row r="6" spans="2:8" ht="15.75">
      <c r="B6" s="3"/>
      <c r="C6" s="4"/>
      <c r="D6" s="2" t="s">
        <v>5</v>
      </c>
      <c r="E6" s="2" t="s">
        <v>16</v>
      </c>
      <c r="F6" s="2"/>
      <c r="G6" s="2"/>
      <c r="H6" s="2"/>
    </row>
    <row r="7" spans="1:11" ht="39" customHeight="1">
      <c r="A7" s="21" t="s">
        <v>61</v>
      </c>
      <c r="B7" s="232" t="s">
        <v>140</v>
      </c>
      <c r="C7" s="233"/>
      <c r="D7" s="234"/>
      <c r="E7" s="11" t="s">
        <v>6</v>
      </c>
      <c r="F7" s="11" t="s">
        <v>7</v>
      </c>
      <c r="G7" s="85" t="s">
        <v>22</v>
      </c>
      <c r="H7" s="143"/>
      <c r="I7" s="235" t="s">
        <v>141</v>
      </c>
      <c r="J7" s="236"/>
      <c r="K7" s="237"/>
    </row>
    <row r="8" spans="1:11" ht="15.75">
      <c r="A8" s="22">
        <v>1</v>
      </c>
      <c r="B8" s="222"/>
      <c r="C8" s="223"/>
      <c r="D8" s="223"/>
      <c r="E8" s="223"/>
      <c r="F8" s="224"/>
      <c r="G8" s="86"/>
      <c r="H8" s="86"/>
      <c r="I8" s="87" t="s">
        <v>142</v>
      </c>
      <c r="J8" s="88" t="s">
        <v>143</v>
      </c>
      <c r="K8" s="88" t="s">
        <v>144</v>
      </c>
    </row>
    <row r="9" spans="1:11" ht="15.75">
      <c r="A9" s="22"/>
      <c r="B9" s="222" t="s">
        <v>145</v>
      </c>
      <c r="C9" s="223"/>
      <c r="D9" s="223"/>
      <c r="E9" s="223"/>
      <c r="F9" s="224"/>
      <c r="G9" s="89"/>
      <c r="H9" s="89"/>
      <c r="I9" s="89"/>
      <c r="J9" s="57"/>
      <c r="K9" s="88"/>
    </row>
    <row r="10" spans="1:11" ht="15.75">
      <c r="A10" s="90"/>
      <c r="B10" s="221" t="s">
        <v>146</v>
      </c>
      <c r="C10" s="221"/>
      <c r="D10" s="221"/>
      <c r="E10" s="221"/>
      <c r="F10" s="221"/>
      <c r="G10" s="15">
        <v>10.58</v>
      </c>
      <c r="H10" s="15">
        <v>11.21</v>
      </c>
      <c r="I10" s="144">
        <f>ROUND(G10*$E$3*6,2)+ROUND(H10*$E$3*4,2)</f>
        <v>291185.83</v>
      </c>
      <c r="J10" s="76"/>
      <c r="K10" s="92">
        <f>I10+J10</f>
        <v>291185.83</v>
      </c>
    </row>
    <row r="11" spans="1:11" ht="15.75">
      <c r="A11" s="90"/>
      <c r="B11" s="221" t="s">
        <v>147</v>
      </c>
      <c r="C11" s="221"/>
      <c r="D11" s="221"/>
      <c r="E11" s="221"/>
      <c r="F11" s="221"/>
      <c r="G11" s="15">
        <v>0.76</v>
      </c>
      <c r="H11" s="15">
        <v>0.8</v>
      </c>
      <c r="I11" s="144">
        <f>ROUND(G11*$E$3*6,2)+ROUND(H11*$E$3*4,2)</f>
        <v>20860.43</v>
      </c>
      <c r="J11" s="76"/>
      <c r="K11" s="92">
        <f>I11+J11</f>
        <v>20860.43</v>
      </c>
    </row>
    <row r="12" spans="1:11" ht="15.75">
      <c r="A12" s="22"/>
      <c r="B12" s="221" t="s">
        <v>148</v>
      </c>
      <c r="C12" s="221"/>
      <c r="D12" s="221"/>
      <c r="E12" s="221"/>
      <c r="F12" s="221"/>
      <c r="G12" s="15"/>
      <c r="H12" s="15"/>
      <c r="I12" s="91"/>
      <c r="J12" s="76">
        <v>0</v>
      </c>
      <c r="K12" s="92">
        <f>I12+J12</f>
        <v>0</v>
      </c>
    </row>
    <row r="13" spans="1:11" ht="15.75">
      <c r="A13" s="22"/>
      <c r="B13" s="221" t="s">
        <v>149</v>
      </c>
      <c r="C13" s="221"/>
      <c r="D13" s="221"/>
      <c r="E13" s="221"/>
      <c r="F13" s="221"/>
      <c r="G13" s="15"/>
      <c r="H13" s="15"/>
      <c r="I13" s="91">
        <v>0</v>
      </c>
      <c r="J13" s="93">
        <v>0</v>
      </c>
      <c r="K13" s="92">
        <f>I13+J13</f>
        <v>0</v>
      </c>
    </row>
    <row r="14" spans="1:11" ht="15.75">
      <c r="A14" s="22"/>
      <c r="B14" s="204" t="s">
        <v>150</v>
      </c>
      <c r="C14" s="204"/>
      <c r="D14" s="204"/>
      <c r="E14" s="204"/>
      <c r="F14" s="204"/>
      <c r="G14" s="15"/>
      <c r="H14" s="15"/>
      <c r="I14" s="41">
        <f>SUM(I10:I13)</f>
        <v>312046.26</v>
      </c>
      <c r="J14" s="41">
        <f>SUM(J10:J13)</f>
        <v>0</v>
      </c>
      <c r="K14" s="41">
        <f>SUM(K10:K13)</f>
        <v>312046.26</v>
      </c>
    </row>
    <row r="15" spans="1:11" ht="18.75">
      <c r="A15" s="22">
        <v>2</v>
      </c>
      <c r="B15" s="226" t="s">
        <v>74</v>
      </c>
      <c r="C15" s="226"/>
      <c r="D15" s="226"/>
      <c r="E15" s="226"/>
      <c r="F15" s="226"/>
      <c r="G15" s="15"/>
      <c r="H15" s="15"/>
      <c r="I15" s="91"/>
      <c r="J15" s="76"/>
      <c r="K15" s="34"/>
    </row>
    <row r="16" spans="1:11" ht="15.75">
      <c r="A16" s="22" t="s">
        <v>151</v>
      </c>
      <c r="B16" s="18" t="s">
        <v>75</v>
      </c>
      <c r="C16" s="18"/>
      <c r="D16" s="18"/>
      <c r="E16" s="18"/>
      <c r="F16" s="5"/>
      <c r="G16" s="87"/>
      <c r="H16" s="87"/>
      <c r="I16" s="87"/>
      <c r="J16" s="84"/>
      <c r="K16" s="88"/>
    </row>
    <row r="17" spans="1:11" ht="33" customHeight="1">
      <c r="A17" s="95"/>
      <c r="B17" s="230" t="s">
        <v>137</v>
      </c>
      <c r="C17" s="230"/>
      <c r="D17" s="230"/>
      <c r="E17" s="96" t="s">
        <v>32</v>
      </c>
      <c r="F17" s="79" t="s">
        <v>24</v>
      </c>
      <c r="G17" s="80">
        <v>1.06</v>
      </c>
      <c r="H17" s="80">
        <v>1.12</v>
      </c>
      <c r="I17" s="144">
        <f>ROUND(G17*$E$3*6,2)+ROUND(H17*$E$3*4,2)</f>
        <v>29140.09</v>
      </c>
      <c r="J17" s="98">
        <f>$J$12*0.08</f>
        <v>0</v>
      </c>
      <c r="K17" s="99">
        <f>SUM(I17:J17)</f>
        <v>29140.09</v>
      </c>
    </row>
    <row r="18" spans="1:11" ht="17.25" customHeight="1">
      <c r="A18" s="22"/>
      <c r="B18" s="183" t="s">
        <v>17</v>
      </c>
      <c r="C18" s="183"/>
      <c r="D18" s="183"/>
      <c r="E18" s="96" t="s">
        <v>32</v>
      </c>
      <c r="F18" s="79" t="s">
        <v>19</v>
      </c>
      <c r="G18" s="80">
        <v>0.28</v>
      </c>
      <c r="H18" s="80">
        <v>0.3</v>
      </c>
      <c r="I18" s="144">
        <f>ROUND(G18*$E$3*6,2)+ROUND(H18*$E$3*4,2)</f>
        <v>7742.02</v>
      </c>
      <c r="J18" s="98">
        <f>$J$12*0.02</f>
        <v>0</v>
      </c>
      <c r="K18" s="99">
        <f>SUM(I18:J18)</f>
        <v>7742.02</v>
      </c>
    </row>
    <row r="19" spans="1:11" ht="20.25" customHeight="1">
      <c r="A19" s="22"/>
      <c r="B19" s="229" t="s">
        <v>23</v>
      </c>
      <c r="C19" s="229"/>
      <c r="D19" s="229"/>
      <c r="E19" s="100" t="s">
        <v>152</v>
      </c>
      <c r="F19" s="81" t="s">
        <v>20</v>
      </c>
      <c r="G19" s="80">
        <v>0.39</v>
      </c>
      <c r="H19" s="80">
        <v>0.41</v>
      </c>
      <c r="I19" s="97">
        <f>K19-J19</f>
        <v>9915.99</v>
      </c>
      <c r="J19" s="98">
        <f>$J$12*0.07</f>
        <v>0</v>
      </c>
      <c r="K19" s="101">
        <v>9915.99</v>
      </c>
    </row>
    <row r="20" spans="1:11" ht="20.25" customHeight="1">
      <c r="A20" s="95"/>
      <c r="B20" s="230" t="s">
        <v>31</v>
      </c>
      <c r="C20" s="230"/>
      <c r="D20" s="230"/>
      <c r="E20" s="102" t="s">
        <v>9</v>
      </c>
      <c r="F20" s="82" t="s">
        <v>10</v>
      </c>
      <c r="G20" s="80">
        <v>0.51</v>
      </c>
      <c r="H20" s="80">
        <v>0.54</v>
      </c>
      <c r="I20" s="144">
        <f>ROUND(G20*$E$3*6,2)+ROUND(H20*$E$3*4,2)</f>
        <v>14032.4</v>
      </c>
      <c r="J20" s="98">
        <f>$J$12*0.04</f>
        <v>0</v>
      </c>
      <c r="K20" s="99">
        <f>SUM(I20:J20)</f>
        <v>14032.4</v>
      </c>
    </row>
    <row r="21" spans="1:11" ht="64.5" customHeight="1">
      <c r="A21" s="22"/>
      <c r="B21" s="229" t="s">
        <v>27</v>
      </c>
      <c r="C21" s="229"/>
      <c r="D21" s="229"/>
      <c r="E21" s="100" t="s">
        <v>153</v>
      </c>
      <c r="F21" s="81" t="s">
        <v>25</v>
      </c>
      <c r="G21" s="80">
        <v>0.12</v>
      </c>
      <c r="H21" s="80">
        <v>0.13</v>
      </c>
      <c r="I21" s="97">
        <f>K21-J21</f>
        <v>3971.36</v>
      </c>
      <c r="J21" s="98">
        <f>$J$12*0.01</f>
        <v>0</v>
      </c>
      <c r="K21" s="101">
        <v>3971.36</v>
      </c>
    </row>
    <row r="22" spans="1:11" ht="20.25" customHeight="1">
      <c r="A22" s="95"/>
      <c r="B22" s="229" t="s">
        <v>11</v>
      </c>
      <c r="C22" s="229"/>
      <c r="D22" s="229"/>
      <c r="E22" s="100" t="s">
        <v>9</v>
      </c>
      <c r="F22" s="81" t="s">
        <v>12</v>
      </c>
      <c r="G22" s="80">
        <v>0</v>
      </c>
      <c r="H22" s="80">
        <v>0</v>
      </c>
      <c r="I22" s="97">
        <f>K22-J22</f>
        <v>0</v>
      </c>
      <c r="J22" s="98">
        <f>$J$12*0.15</f>
        <v>0</v>
      </c>
      <c r="K22" s="101">
        <f>G22*E3*12</f>
        <v>0</v>
      </c>
    </row>
    <row r="23" spans="1:11" ht="20.25" customHeight="1">
      <c r="A23" s="95"/>
      <c r="B23" s="229" t="s">
        <v>26</v>
      </c>
      <c r="C23" s="185"/>
      <c r="D23" s="185"/>
      <c r="E23" s="103" t="s">
        <v>13</v>
      </c>
      <c r="F23" s="78" t="s">
        <v>14</v>
      </c>
      <c r="G23" s="80">
        <v>0.05</v>
      </c>
      <c r="H23" s="80">
        <v>0.05</v>
      </c>
      <c r="I23" s="97">
        <f>K23-J23</f>
        <v>3257.4</v>
      </c>
      <c r="J23" s="98">
        <f>$J$12*0.003</f>
        <v>0</v>
      </c>
      <c r="K23" s="101">
        <v>3257.4</v>
      </c>
    </row>
    <row r="24" spans="1:11" ht="28.5" customHeight="1">
      <c r="A24" s="22"/>
      <c r="B24" s="229" t="s">
        <v>154</v>
      </c>
      <c r="C24" s="229"/>
      <c r="D24" s="229"/>
      <c r="E24" s="96" t="s">
        <v>36</v>
      </c>
      <c r="F24" s="39" t="s">
        <v>81</v>
      </c>
      <c r="G24" s="80">
        <v>2.15</v>
      </c>
      <c r="H24" s="80">
        <v>2.28</v>
      </c>
      <c r="I24" s="144">
        <f aca="true" t="shared" si="0" ref="I24:I30">ROUND(G24*$E$3*6,2)+ROUND(H24*$E$3*4,2)</f>
        <v>59194.16</v>
      </c>
      <c r="J24" s="98">
        <f>$J$12*0.19</f>
        <v>0</v>
      </c>
      <c r="K24" s="99">
        <f aca="true" t="shared" si="1" ref="K24:K29">SUM(I24:J24)</f>
        <v>59194.16</v>
      </c>
    </row>
    <row r="25" spans="1:11" ht="26.25" customHeight="1">
      <c r="A25" s="22"/>
      <c r="B25" s="183" t="s">
        <v>15</v>
      </c>
      <c r="C25" s="183"/>
      <c r="D25" s="183"/>
      <c r="E25" s="96" t="s">
        <v>36</v>
      </c>
      <c r="F25" s="39" t="s">
        <v>81</v>
      </c>
      <c r="G25" s="80">
        <v>0.44</v>
      </c>
      <c r="H25" s="80">
        <v>0.47</v>
      </c>
      <c r="I25" s="144">
        <f t="shared" si="0"/>
        <v>12150.67</v>
      </c>
      <c r="J25" s="98">
        <v>0</v>
      </c>
      <c r="K25" s="99">
        <f t="shared" si="1"/>
        <v>12150.67</v>
      </c>
    </row>
    <row r="26" spans="1:11" ht="30" customHeight="1">
      <c r="A26" s="22"/>
      <c r="B26" s="206" t="s">
        <v>37</v>
      </c>
      <c r="C26" s="187"/>
      <c r="D26" s="188"/>
      <c r="E26" s="96" t="s">
        <v>36</v>
      </c>
      <c r="F26" s="39" t="s">
        <v>81</v>
      </c>
      <c r="G26" s="36">
        <f>3.46-G27-G28</f>
        <v>3.46</v>
      </c>
      <c r="H26" s="36">
        <f>3.67-H27-H28</f>
        <v>3.36</v>
      </c>
      <c r="I26" s="144">
        <f t="shared" si="0"/>
        <v>91936.44</v>
      </c>
      <c r="J26" s="105">
        <f>$J$12*0.18</f>
        <v>0</v>
      </c>
      <c r="K26" s="99">
        <f t="shared" si="1"/>
        <v>91936.44</v>
      </c>
    </row>
    <row r="27" spans="1:11" ht="26.25" customHeight="1">
      <c r="A27" s="95"/>
      <c r="B27" s="229" t="s">
        <v>155</v>
      </c>
      <c r="C27" s="229"/>
      <c r="D27" s="229"/>
      <c r="E27" s="96" t="s">
        <v>36</v>
      </c>
      <c r="F27" s="39" t="s">
        <v>81</v>
      </c>
      <c r="G27" s="36">
        <v>0</v>
      </c>
      <c r="H27" s="36">
        <v>0.31</v>
      </c>
      <c r="I27" s="144">
        <f t="shared" si="0"/>
        <v>3333.37</v>
      </c>
      <c r="J27" s="105">
        <f>$J$12*0.02</f>
        <v>0</v>
      </c>
      <c r="K27" s="99">
        <f t="shared" si="1"/>
        <v>3333.37</v>
      </c>
    </row>
    <row r="28" spans="1:11" ht="17.25" customHeight="1">
      <c r="A28" s="22"/>
      <c r="B28" s="229" t="s">
        <v>156</v>
      </c>
      <c r="C28" s="229"/>
      <c r="D28" s="229"/>
      <c r="E28" s="100" t="s">
        <v>9</v>
      </c>
      <c r="F28" s="39" t="s">
        <v>81</v>
      </c>
      <c r="G28" s="36">
        <v>0</v>
      </c>
      <c r="H28" s="36">
        <v>0</v>
      </c>
      <c r="I28" s="144">
        <f t="shared" si="0"/>
        <v>0</v>
      </c>
      <c r="J28" s="105">
        <f>$J$12*0.02</f>
        <v>0</v>
      </c>
      <c r="K28" s="99">
        <f t="shared" si="1"/>
        <v>0</v>
      </c>
    </row>
    <row r="29" spans="1:11" ht="30" customHeight="1">
      <c r="A29" s="22"/>
      <c r="B29" s="185" t="s">
        <v>21</v>
      </c>
      <c r="C29" s="185"/>
      <c r="D29" s="185"/>
      <c r="E29" s="100" t="s">
        <v>36</v>
      </c>
      <c r="F29" s="39" t="s">
        <v>81</v>
      </c>
      <c r="G29" s="78">
        <v>1.06</v>
      </c>
      <c r="H29" s="78">
        <v>1.12</v>
      </c>
      <c r="I29" s="144">
        <f t="shared" si="0"/>
        <v>29140.09</v>
      </c>
      <c r="J29" s="98">
        <f>$J$12*0.1</f>
        <v>0</v>
      </c>
      <c r="K29" s="99">
        <f t="shared" si="1"/>
        <v>29140.09</v>
      </c>
    </row>
    <row r="30" spans="1:11" ht="15.75">
      <c r="A30" s="22"/>
      <c r="B30" s="192"/>
      <c r="C30" s="193"/>
      <c r="D30" s="194"/>
      <c r="E30" s="100"/>
      <c r="F30" s="39"/>
      <c r="G30" s="78"/>
      <c r="H30" s="78"/>
      <c r="I30" s="144">
        <f t="shared" si="0"/>
        <v>0</v>
      </c>
      <c r="J30" s="93"/>
      <c r="K30" s="106"/>
    </row>
    <row r="31" spans="1:11" ht="15.75">
      <c r="A31" s="22"/>
      <c r="B31" s="192"/>
      <c r="C31" s="193"/>
      <c r="D31" s="194"/>
      <c r="E31" s="100"/>
      <c r="F31" s="39"/>
      <c r="G31" s="78"/>
      <c r="H31" s="78"/>
      <c r="I31" s="104"/>
      <c r="J31" s="93"/>
      <c r="K31" s="106"/>
    </row>
    <row r="32" spans="1:11" ht="15.75">
      <c r="A32" s="22"/>
      <c r="B32" s="212" t="s">
        <v>30</v>
      </c>
      <c r="C32" s="212"/>
      <c r="D32" s="212"/>
      <c r="E32" s="14"/>
      <c r="F32" s="39"/>
      <c r="G32" s="20">
        <f>SUM(G17:G29)</f>
        <v>9.520000000000001</v>
      </c>
      <c r="H32" s="145">
        <f>SUM(H17:H29)</f>
        <v>10.09</v>
      </c>
      <c r="I32" s="45">
        <f>SUM(I17:I31)</f>
        <v>263813.99</v>
      </c>
      <c r="J32" s="107">
        <f>SUM(J17:J31)</f>
        <v>0</v>
      </c>
      <c r="K32" s="45">
        <f>SUM(K17:K31)</f>
        <v>263813.99</v>
      </c>
    </row>
    <row r="33" spans="1:11" ht="21.75" customHeight="1">
      <c r="A33" s="22"/>
      <c r="B33" s="186" t="s">
        <v>157</v>
      </c>
      <c r="C33" s="187"/>
      <c r="D33" s="188"/>
      <c r="E33" s="100" t="s">
        <v>9</v>
      </c>
      <c r="F33" s="39"/>
      <c r="G33" s="78"/>
      <c r="H33" s="78"/>
      <c r="I33" s="104"/>
      <c r="J33" s="93"/>
      <c r="K33" s="106"/>
    </row>
    <row r="34" spans="1:11" ht="27.75" customHeight="1">
      <c r="A34" s="22"/>
      <c r="B34" s="186" t="s">
        <v>158</v>
      </c>
      <c r="C34" s="187"/>
      <c r="D34" s="188"/>
      <c r="E34" s="96" t="s">
        <v>36</v>
      </c>
      <c r="F34" s="39"/>
      <c r="G34" s="78"/>
      <c r="H34" s="78"/>
      <c r="I34" s="104"/>
      <c r="J34" s="93"/>
      <c r="K34" s="106"/>
    </row>
    <row r="35" spans="1:11" ht="15.75">
      <c r="A35" s="22"/>
      <c r="B35" s="192"/>
      <c r="C35" s="193"/>
      <c r="D35" s="194"/>
      <c r="E35" s="100"/>
      <c r="F35" s="39"/>
      <c r="G35" s="78"/>
      <c r="H35" s="78"/>
      <c r="I35" s="104"/>
      <c r="J35" s="93"/>
      <c r="K35" s="106"/>
    </row>
    <row r="36" spans="1:11" ht="15" customHeight="1">
      <c r="A36" s="22" t="s">
        <v>159</v>
      </c>
      <c r="B36" s="195" t="s">
        <v>160</v>
      </c>
      <c r="C36" s="189"/>
      <c r="D36" s="189"/>
      <c r="E36" s="184"/>
      <c r="F36" s="39" t="s">
        <v>81</v>
      </c>
      <c r="G36" s="23">
        <f>I36/E3/12</f>
        <v>0</v>
      </c>
      <c r="H36" s="23"/>
      <c r="I36" s="108"/>
      <c r="J36" s="109">
        <v>0</v>
      </c>
      <c r="K36" s="41">
        <f>SUM(I36:J36)</f>
        <v>0</v>
      </c>
    </row>
    <row r="37" spans="1:11" ht="14.25" customHeight="1">
      <c r="A37" s="25"/>
      <c r="B37" s="190" t="s">
        <v>76</v>
      </c>
      <c r="C37" s="190"/>
      <c r="D37" s="190"/>
      <c r="E37" s="190"/>
      <c r="F37" s="190"/>
      <c r="G37" s="20">
        <f>SUM(G32:G36)</f>
        <v>9.520000000000001</v>
      </c>
      <c r="H37" s="20">
        <f>SUM(H32:H36)</f>
        <v>10.09</v>
      </c>
      <c r="I37" s="46">
        <f>SUM(I32:I36)</f>
        <v>263813.99</v>
      </c>
      <c r="J37" s="110">
        <f>SUM(J32:J36)</f>
        <v>0</v>
      </c>
      <c r="K37" s="46">
        <f>SUM(K32:K36)</f>
        <v>263813.99</v>
      </c>
    </row>
    <row r="38" spans="1:11" ht="15.75">
      <c r="A38" s="22" t="s">
        <v>161</v>
      </c>
      <c r="B38" s="227" t="s">
        <v>162</v>
      </c>
      <c r="C38" s="227"/>
      <c r="D38" s="227"/>
      <c r="E38" s="227"/>
      <c r="F38" s="227"/>
      <c r="G38" s="23"/>
      <c r="H38" s="23"/>
      <c r="I38" s="111">
        <v>0</v>
      </c>
      <c r="J38" s="111">
        <v>0</v>
      </c>
      <c r="K38" s="112">
        <f>SUM(I38:J38)</f>
        <v>0</v>
      </c>
    </row>
    <row r="39" spans="1:11" ht="24.75" customHeight="1">
      <c r="A39" s="25"/>
      <c r="B39" s="190" t="s">
        <v>163</v>
      </c>
      <c r="C39" s="190"/>
      <c r="D39" s="190"/>
      <c r="E39" s="190"/>
      <c r="F39" s="190"/>
      <c r="G39" s="20">
        <f>SUM(G37:G38)</f>
        <v>9.520000000000001</v>
      </c>
      <c r="H39" s="20">
        <f>SUM(H37:H38)</f>
        <v>10.09</v>
      </c>
      <c r="I39" s="46">
        <f>SUM(I37:I38)</f>
        <v>263813.99</v>
      </c>
      <c r="J39" s="110">
        <f>SUM(J37:J38)</f>
        <v>0</v>
      </c>
      <c r="K39" s="46">
        <f>SUM(K37:K38)</f>
        <v>263813.99</v>
      </c>
    </row>
    <row r="40" spans="1:11" ht="27" customHeight="1">
      <c r="A40" s="22">
        <v>3</v>
      </c>
      <c r="B40" s="206" t="s">
        <v>212</v>
      </c>
      <c r="C40" s="207"/>
      <c r="D40" s="207"/>
      <c r="E40" s="207"/>
      <c r="F40" s="207"/>
      <c r="G40" s="208"/>
      <c r="H40" s="142"/>
      <c r="I40" s="97">
        <f>I14-I39</f>
        <v>48232.27000000002</v>
      </c>
      <c r="J40" s="97">
        <f>J14-J39</f>
        <v>0</v>
      </c>
      <c r="K40" s="113">
        <f>K14-K39</f>
        <v>48232.27000000002</v>
      </c>
    </row>
    <row r="41" spans="2:10" ht="23.25" customHeight="1">
      <c r="B41" s="191" t="s">
        <v>198</v>
      </c>
      <c r="C41" s="191"/>
      <c r="D41" s="191"/>
      <c r="E41" s="191"/>
      <c r="F41" s="191"/>
      <c r="G41" s="191"/>
      <c r="H41" s="191"/>
      <c r="I41" s="191"/>
      <c r="J41" s="191"/>
    </row>
    <row r="42" spans="2:4" ht="23.25" customHeight="1">
      <c r="B42" s="33"/>
      <c r="C42" s="33"/>
      <c r="D42" s="33"/>
    </row>
    <row r="43" spans="2:6" ht="15.75">
      <c r="B43" s="48" t="s">
        <v>213</v>
      </c>
      <c r="C43" s="48"/>
      <c r="D43" s="48"/>
      <c r="E43" s="48"/>
      <c r="F43" s="48"/>
    </row>
    <row r="44" spans="2:4" ht="15.75" customHeight="1">
      <c r="B44" s="201" t="s">
        <v>85</v>
      </c>
      <c r="C44" s="201"/>
      <c r="D44" s="201"/>
    </row>
  </sheetData>
  <mergeCells count="38">
    <mergeCell ref="B41:J41"/>
    <mergeCell ref="B44:D44"/>
    <mergeCell ref="B37:F37"/>
    <mergeCell ref="B38:F38"/>
    <mergeCell ref="B39:F39"/>
    <mergeCell ref="B40:G40"/>
    <mergeCell ref="B33:D33"/>
    <mergeCell ref="B34:D34"/>
    <mergeCell ref="B35:D35"/>
    <mergeCell ref="B36:E36"/>
    <mergeCell ref="B29:D29"/>
    <mergeCell ref="B30:D30"/>
    <mergeCell ref="B31:D31"/>
    <mergeCell ref="B32:D32"/>
    <mergeCell ref="B25:D25"/>
    <mergeCell ref="B26:D26"/>
    <mergeCell ref="B27:D27"/>
    <mergeCell ref="B28:D28"/>
    <mergeCell ref="B21:D21"/>
    <mergeCell ref="B22:D22"/>
    <mergeCell ref="B23:D23"/>
    <mergeCell ref="B24:D24"/>
    <mergeCell ref="B17:D17"/>
    <mergeCell ref="B18:D18"/>
    <mergeCell ref="B19:D19"/>
    <mergeCell ref="B20:D20"/>
    <mergeCell ref="B12:F12"/>
    <mergeCell ref="B13:F13"/>
    <mergeCell ref="B14:F14"/>
    <mergeCell ref="B15:F15"/>
    <mergeCell ref="B8:F8"/>
    <mergeCell ref="B9:F9"/>
    <mergeCell ref="B10:F10"/>
    <mergeCell ref="B11:F11"/>
    <mergeCell ref="A1:K1"/>
    <mergeCell ref="A2:K2"/>
    <mergeCell ref="B7:D7"/>
    <mergeCell ref="I7:K7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46"/>
  <sheetViews>
    <sheetView workbookViewId="0" topLeftCell="A25">
      <selection activeCell="G19" sqref="G19:G31"/>
    </sheetView>
  </sheetViews>
  <sheetFormatPr defaultColWidth="9.00390625" defaultRowHeight="15.75"/>
  <cols>
    <col min="1" max="1" width="7.375" style="0" customWidth="1"/>
    <col min="2" max="2" width="26.75390625" style="0" customWidth="1"/>
    <col min="3" max="3" width="3.50390625" style="0" customWidth="1"/>
    <col min="4" max="4" width="13.875" style="0" customWidth="1"/>
    <col min="5" max="5" width="16.625" style="0" customWidth="1"/>
    <col min="6" max="6" width="0" style="0" hidden="1" customWidth="1"/>
    <col min="7" max="7" width="9.50390625" style="0" customWidth="1"/>
    <col min="8" max="8" width="11.625" style="0" customWidth="1"/>
  </cols>
  <sheetData>
    <row r="1" spans="1:8" ht="80.25" customHeight="1">
      <c r="A1" s="147"/>
      <c r="B1" s="147"/>
      <c r="C1" s="147"/>
      <c r="D1" s="262" t="s">
        <v>223</v>
      </c>
      <c r="E1" s="262"/>
      <c r="F1" s="262"/>
      <c r="G1" s="262"/>
      <c r="H1" s="262"/>
    </row>
    <row r="2" spans="1:8" ht="20.25">
      <c r="A2" s="147"/>
      <c r="B2" s="147"/>
      <c r="C2" s="147"/>
      <c r="D2" s="154"/>
      <c r="E2" s="154"/>
      <c r="F2" s="154"/>
      <c r="G2" s="154"/>
      <c r="H2" s="154"/>
    </row>
    <row r="3" spans="1:8" ht="20.25">
      <c r="A3" s="147"/>
      <c r="B3" s="147"/>
      <c r="C3" s="147"/>
      <c r="D3" s="154"/>
      <c r="E3" s="154"/>
      <c r="F3" s="154"/>
      <c r="G3" s="154"/>
      <c r="H3" s="154"/>
    </row>
    <row r="4" spans="1:8" ht="20.25" customHeight="1">
      <c r="A4" s="263" t="s">
        <v>224</v>
      </c>
      <c r="B4" s="263"/>
      <c r="C4" s="263"/>
      <c r="D4" s="263"/>
      <c r="E4" s="263"/>
      <c r="F4" s="263"/>
      <c r="G4" s="263"/>
      <c r="H4" s="154"/>
    </row>
    <row r="5" spans="1:8" ht="12" customHeight="1">
      <c r="A5" s="147"/>
      <c r="B5" s="147"/>
      <c r="C5" s="147"/>
      <c r="D5" s="154"/>
      <c r="E5" s="154"/>
      <c r="F5" s="154"/>
      <c r="G5" s="154"/>
      <c r="H5" s="154"/>
    </row>
    <row r="6" spans="1:8" ht="20.25" customHeight="1">
      <c r="A6" s="147"/>
      <c r="B6" s="264" t="s">
        <v>230</v>
      </c>
      <c r="C6" s="264"/>
      <c r="D6" s="264"/>
      <c r="E6" s="264"/>
      <c r="F6" s="264"/>
      <c r="G6" s="264"/>
      <c r="H6" s="154"/>
    </row>
    <row r="7" spans="1:8" ht="12" customHeight="1">
      <c r="A7" s="147"/>
      <c r="B7" s="147"/>
      <c r="C7" s="147"/>
      <c r="D7" s="154"/>
      <c r="E7" s="154"/>
      <c r="F7" s="154"/>
      <c r="G7" s="154"/>
      <c r="H7" s="154"/>
    </row>
    <row r="8" spans="1:6" ht="15.75" customHeight="1">
      <c r="A8" s="1" t="s">
        <v>82</v>
      </c>
      <c r="B8" s="1" t="s">
        <v>83</v>
      </c>
      <c r="C8" s="2"/>
      <c r="D8" s="2" t="s">
        <v>0</v>
      </c>
      <c r="E8" s="26">
        <v>2690.7</v>
      </c>
      <c r="F8" s="2"/>
    </row>
    <row r="9" spans="2:6" ht="15.75">
      <c r="B9" s="3" t="s">
        <v>1</v>
      </c>
      <c r="C9" s="35">
        <v>5</v>
      </c>
      <c r="D9" s="2" t="s">
        <v>2</v>
      </c>
      <c r="E9" s="27">
        <v>60</v>
      </c>
      <c r="F9" s="2"/>
    </row>
    <row r="10" spans="2:7" ht="15.75">
      <c r="B10" s="3" t="s">
        <v>3</v>
      </c>
      <c r="C10" s="4">
        <v>4</v>
      </c>
      <c r="D10" s="2" t="s">
        <v>4</v>
      </c>
      <c r="E10" s="2" t="s">
        <v>16</v>
      </c>
      <c r="F10" s="2"/>
      <c r="G10" s="2"/>
    </row>
    <row r="11" spans="2:7" ht="16.5" thickBot="1">
      <c r="B11" s="3"/>
      <c r="C11" s="4"/>
      <c r="D11" s="2" t="s">
        <v>5</v>
      </c>
      <c r="E11" s="2" t="s">
        <v>16</v>
      </c>
      <c r="F11" s="2"/>
      <c r="G11" s="2"/>
    </row>
    <row r="12" spans="1:8" ht="78.75">
      <c r="A12" s="73" t="s">
        <v>61</v>
      </c>
      <c r="B12" s="242" t="s">
        <v>140</v>
      </c>
      <c r="C12" s="243"/>
      <c r="D12" s="244"/>
      <c r="E12" s="74" t="s">
        <v>6</v>
      </c>
      <c r="F12" s="74" t="s">
        <v>7</v>
      </c>
      <c r="G12" s="161" t="s">
        <v>225</v>
      </c>
      <c r="H12" s="162" t="s">
        <v>232</v>
      </c>
    </row>
    <row r="13" spans="1:8" ht="25.5">
      <c r="A13" s="148">
        <v>1</v>
      </c>
      <c r="B13" s="232">
        <v>2</v>
      </c>
      <c r="C13" s="233"/>
      <c r="D13" s="234"/>
      <c r="E13" s="149">
        <v>3</v>
      </c>
      <c r="F13" s="149"/>
      <c r="G13" s="151">
        <v>4</v>
      </c>
      <c r="H13" s="150" t="s">
        <v>220</v>
      </c>
    </row>
    <row r="14" spans="1:8" ht="15.75" hidden="1">
      <c r="A14" s="75">
        <v>1</v>
      </c>
      <c r="B14" s="245" t="s">
        <v>135</v>
      </c>
      <c r="C14" s="245"/>
      <c r="D14" s="245"/>
      <c r="E14" s="245"/>
      <c r="F14" s="245"/>
      <c r="G14" s="76"/>
      <c r="H14" s="131"/>
    </row>
    <row r="15" spans="1:8" ht="15.75" hidden="1">
      <c r="A15" s="75"/>
      <c r="B15" s="204" t="s">
        <v>201</v>
      </c>
      <c r="C15" s="204"/>
      <c r="D15" s="204"/>
      <c r="E15" s="204"/>
      <c r="F15" s="204"/>
      <c r="G15" s="23">
        <f>G37</f>
        <v>10.740000000000002</v>
      </c>
      <c r="H15" s="131">
        <f>ROUND($E$8*G15*12,0)</f>
        <v>346777</v>
      </c>
    </row>
    <row r="16" spans="1:8" ht="15.75" hidden="1">
      <c r="A16" s="75"/>
      <c r="B16" s="238" t="s">
        <v>136</v>
      </c>
      <c r="C16" s="238"/>
      <c r="D16" s="238"/>
      <c r="E16" s="238"/>
      <c r="F16" s="238"/>
      <c r="G16" s="22">
        <v>0.78</v>
      </c>
      <c r="H16" s="131">
        <f>ROUND($E$8*G16*12,0)</f>
        <v>25185</v>
      </c>
    </row>
    <row r="17" spans="1:8" ht="18.75">
      <c r="A17" s="75">
        <v>1</v>
      </c>
      <c r="B17" s="226" t="s">
        <v>74</v>
      </c>
      <c r="C17" s="226"/>
      <c r="D17" s="226"/>
      <c r="E17" s="226"/>
      <c r="F17" s="226"/>
      <c r="G17" s="78"/>
      <c r="H17" s="131"/>
    </row>
    <row r="18" spans="1:8" ht="15.75">
      <c r="A18" s="75" t="s">
        <v>221</v>
      </c>
      <c r="B18" s="18" t="s">
        <v>75</v>
      </c>
      <c r="C18" s="18"/>
      <c r="D18" s="18"/>
      <c r="E18" s="18"/>
      <c r="F18" s="5"/>
      <c r="G18" s="89"/>
      <c r="H18" s="131"/>
    </row>
    <row r="19" spans="1:8" ht="30" customHeight="1">
      <c r="A19" s="132"/>
      <c r="B19" s="256" t="s">
        <v>215</v>
      </c>
      <c r="C19" s="240"/>
      <c r="D19" s="240"/>
      <c r="E19" s="96" t="s">
        <v>32</v>
      </c>
      <c r="F19" s="79" t="s">
        <v>24</v>
      </c>
      <c r="G19" s="80">
        <v>1.12</v>
      </c>
      <c r="H19" s="77">
        <f>ROUND($E$8*G19*1,0)</f>
        <v>3014</v>
      </c>
    </row>
    <row r="20" spans="1:8" ht="16.5" customHeight="1">
      <c r="A20" s="132"/>
      <c r="B20" s="240" t="s">
        <v>17</v>
      </c>
      <c r="C20" s="240"/>
      <c r="D20" s="240"/>
      <c r="E20" s="96" t="s">
        <v>32</v>
      </c>
      <c r="F20" s="79" t="s">
        <v>19</v>
      </c>
      <c r="G20" s="80">
        <v>0.3</v>
      </c>
      <c r="H20" s="77">
        <f aca="true" t="shared" si="0" ref="H20:H31">ROUND($E$8*G20*1,0)</f>
        <v>807</v>
      </c>
    </row>
    <row r="21" spans="1:8" ht="15.75" customHeight="1">
      <c r="A21" s="132"/>
      <c r="B21" s="239" t="s">
        <v>23</v>
      </c>
      <c r="C21" s="239"/>
      <c r="D21" s="239"/>
      <c r="E21" s="100" t="s">
        <v>152</v>
      </c>
      <c r="F21" s="81" t="s">
        <v>20</v>
      </c>
      <c r="G21" s="80">
        <v>0.41</v>
      </c>
      <c r="H21" s="77">
        <f t="shared" si="0"/>
        <v>1103</v>
      </c>
    </row>
    <row r="22" spans="1:8" ht="15.75" customHeight="1">
      <c r="A22" s="132"/>
      <c r="B22" s="246" t="s">
        <v>31</v>
      </c>
      <c r="C22" s="246"/>
      <c r="D22" s="246"/>
      <c r="E22" s="102" t="s">
        <v>9</v>
      </c>
      <c r="F22" s="82" t="s">
        <v>10</v>
      </c>
      <c r="G22" s="80">
        <v>0.54</v>
      </c>
      <c r="H22" s="77">
        <f t="shared" si="0"/>
        <v>1453</v>
      </c>
    </row>
    <row r="23" spans="1:8" ht="50.25" customHeight="1">
      <c r="A23" s="132"/>
      <c r="B23" s="239" t="s">
        <v>27</v>
      </c>
      <c r="C23" s="239"/>
      <c r="D23" s="239"/>
      <c r="E23" s="100" t="s">
        <v>153</v>
      </c>
      <c r="F23" s="81" t="s">
        <v>25</v>
      </c>
      <c r="G23" s="80">
        <v>0.13</v>
      </c>
      <c r="H23" s="77">
        <f t="shared" si="0"/>
        <v>350</v>
      </c>
    </row>
    <row r="24" spans="1:8" ht="30" customHeight="1">
      <c r="A24" s="132"/>
      <c r="B24" s="239" t="s">
        <v>11</v>
      </c>
      <c r="C24" s="239"/>
      <c r="D24" s="239"/>
      <c r="E24" s="100" t="s">
        <v>9</v>
      </c>
      <c r="F24" s="81" t="s">
        <v>12</v>
      </c>
      <c r="G24" s="80">
        <v>0</v>
      </c>
      <c r="H24" s="77">
        <f t="shared" si="0"/>
        <v>0</v>
      </c>
    </row>
    <row r="25" spans="1:8" ht="15.75">
      <c r="A25" s="132"/>
      <c r="B25" s="239" t="s">
        <v>26</v>
      </c>
      <c r="C25" s="241"/>
      <c r="D25" s="241"/>
      <c r="E25" s="103" t="s">
        <v>13</v>
      </c>
      <c r="F25" s="78" t="s">
        <v>203</v>
      </c>
      <c r="G25" s="80">
        <v>0.05</v>
      </c>
      <c r="H25" s="77">
        <f t="shared" si="0"/>
        <v>135</v>
      </c>
    </row>
    <row r="26" spans="1:8" ht="41.25" customHeight="1">
      <c r="A26" s="132"/>
      <c r="B26" s="239" t="s">
        <v>154</v>
      </c>
      <c r="C26" s="239"/>
      <c r="D26" s="239"/>
      <c r="E26" s="153" t="s">
        <v>222</v>
      </c>
      <c r="F26" s="81" t="s">
        <v>81</v>
      </c>
      <c r="G26" s="80">
        <v>1.63</v>
      </c>
      <c r="H26" s="77">
        <f t="shared" si="0"/>
        <v>4386</v>
      </c>
    </row>
    <row r="27" spans="1:8" ht="55.5" customHeight="1">
      <c r="A27" s="132"/>
      <c r="B27" s="240" t="s">
        <v>15</v>
      </c>
      <c r="C27" s="240"/>
      <c r="D27" s="240"/>
      <c r="E27" s="96" t="s">
        <v>138</v>
      </c>
      <c r="F27" s="81" t="s">
        <v>81</v>
      </c>
      <c r="G27" s="80">
        <v>0</v>
      </c>
      <c r="H27" s="77">
        <f t="shared" si="0"/>
        <v>0</v>
      </c>
    </row>
    <row r="28" spans="1:8" ht="31.5" customHeight="1">
      <c r="A28" s="132"/>
      <c r="B28" s="239" t="s">
        <v>37</v>
      </c>
      <c r="C28" s="241"/>
      <c r="D28" s="241"/>
      <c r="E28" s="96" t="s">
        <v>36</v>
      </c>
      <c r="F28" s="81" t="s">
        <v>81</v>
      </c>
      <c r="G28" s="80">
        <f>4.32-G29-G30</f>
        <v>4.32</v>
      </c>
      <c r="H28" s="77">
        <f t="shared" si="0"/>
        <v>11624</v>
      </c>
    </row>
    <row r="29" spans="1:8" ht="15" customHeight="1">
      <c r="A29" s="132"/>
      <c r="B29" s="239" t="s">
        <v>204</v>
      </c>
      <c r="C29" s="239"/>
      <c r="D29" s="239"/>
      <c r="E29" s="100" t="s">
        <v>9</v>
      </c>
      <c r="F29" s="81" t="s">
        <v>81</v>
      </c>
      <c r="G29" s="80">
        <v>0</v>
      </c>
      <c r="H29" s="77">
        <f t="shared" si="0"/>
        <v>0</v>
      </c>
    </row>
    <row r="30" spans="1:8" ht="15" customHeight="1">
      <c r="A30" s="132"/>
      <c r="B30" s="239" t="s">
        <v>156</v>
      </c>
      <c r="C30" s="239"/>
      <c r="D30" s="239"/>
      <c r="E30" s="100" t="s">
        <v>9</v>
      </c>
      <c r="F30" s="81" t="s">
        <v>81</v>
      </c>
      <c r="G30" s="80">
        <v>0</v>
      </c>
      <c r="H30" s="77">
        <f t="shared" si="0"/>
        <v>0</v>
      </c>
    </row>
    <row r="31" spans="1:8" ht="27.75" customHeight="1">
      <c r="A31" s="132"/>
      <c r="B31" s="241" t="s">
        <v>21</v>
      </c>
      <c r="C31" s="241"/>
      <c r="D31" s="241"/>
      <c r="E31" s="96" t="s">
        <v>36</v>
      </c>
      <c r="F31" s="81" t="s">
        <v>81</v>
      </c>
      <c r="G31" s="80">
        <v>1.12</v>
      </c>
      <c r="H31" s="77">
        <f t="shared" si="0"/>
        <v>3014</v>
      </c>
    </row>
    <row r="32" spans="1:8" ht="15.75" hidden="1">
      <c r="A32" s="22"/>
      <c r="B32" s="186" t="s">
        <v>157</v>
      </c>
      <c r="C32" s="187"/>
      <c r="D32" s="188"/>
      <c r="E32" s="100" t="s">
        <v>9</v>
      </c>
      <c r="F32" s="81"/>
      <c r="G32" s="80"/>
      <c r="H32" s="77"/>
    </row>
    <row r="33" spans="1:8" ht="25.5" hidden="1">
      <c r="A33" s="22"/>
      <c r="B33" s="186" t="s">
        <v>158</v>
      </c>
      <c r="C33" s="187"/>
      <c r="D33" s="188"/>
      <c r="E33" s="96" t="s">
        <v>36</v>
      </c>
      <c r="F33" s="81"/>
      <c r="G33" s="80"/>
      <c r="H33" s="77"/>
    </row>
    <row r="34" spans="1:8" ht="15.75" hidden="1">
      <c r="A34" s="132"/>
      <c r="B34" s="192"/>
      <c r="C34" s="193"/>
      <c r="D34" s="194"/>
      <c r="E34" s="96"/>
      <c r="F34" s="81"/>
      <c r="G34" s="80"/>
      <c r="H34" s="77"/>
    </row>
    <row r="35" spans="1:8" ht="13.5" customHeight="1">
      <c r="A35" s="132"/>
      <c r="B35" s="257" t="s">
        <v>30</v>
      </c>
      <c r="C35" s="258"/>
      <c r="D35" s="259"/>
      <c r="E35" s="14"/>
      <c r="F35" s="81"/>
      <c r="G35" s="20">
        <f>SUM(G19:G34)</f>
        <v>9.620000000000001</v>
      </c>
      <c r="H35" s="165">
        <f>SUM(H22:H34)</f>
        <v>20962</v>
      </c>
    </row>
    <row r="36" spans="1:8" ht="15.75" customHeight="1">
      <c r="A36" s="75" t="s">
        <v>233</v>
      </c>
      <c r="B36" s="195" t="s">
        <v>216</v>
      </c>
      <c r="C36" s="189"/>
      <c r="D36" s="189"/>
      <c r="E36" s="100" t="s">
        <v>231</v>
      </c>
      <c r="F36" s="50" t="s">
        <v>139</v>
      </c>
      <c r="G36" s="23">
        <v>1.12</v>
      </c>
      <c r="H36" s="77">
        <f>ROUND($E$8*G36*1,0)</f>
        <v>3014</v>
      </c>
    </row>
    <row r="37" spans="1:8" ht="12.75" customHeight="1">
      <c r="A37" s="75" t="s">
        <v>234</v>
      </c>
      <c r="B37" s="257" t="s">
        <v>206</v>
      </c>
      <c r="C37" s="258"/>
      <c r="D37" s="258"/>
      <c r="E37" s="18"/>
      <c r="F37" s="152"/>
      <c r="G37" s="20">
        <f>SUM(G35:G36)</f>
        <v>10.740000000000002</v>
      </c>
      <c r="H37" s="166">
        <f>SUM(H35:H36)</f>
        <v>23976</v>
      </c>
    </row>
    <row r="38" spans="1:8" ht="17.25" customHeight="1" thickBot="1">
      <c r="A38" s="134">
        <v>2</v>
      </c>
      <c r="B38" s="255" t="s">
        <v>217</v>
      </c>
      <c r="C38" s="249"/>
      <c r="D38" s="250"/>
      <c r="E38" s="100" t="s">
        <v>231</v>
      </c>
      <c r="F38" s="136" t="s">
        <v>139</v>
      </c>
      <c r="G38" s="163">
        <v>0.8</v>
      </c>
      <c r="H38" s="137">
        <f>ROUND($E$8*G38*1,0)</f>
        <v>2153</v>
      </c>
    </row>
    <row r="39" spans="1:8" ht="16.5" customHeight="1">
      <c r="A39" s="155"/>
      <c r="B39" s="260" t="s">
        <v>229</v>
      </c>
      <c r="C39" s="260"/>
      <c r="D39" s="260"/>
      <c r="E39" s="260"/>
      <c r="F39" s="156"/>
      <c r="G39" s="157"/>
      <c r="H39" s="158"/>
    </row>
    <row r="40" spans="1:8" ht="15.75" hidden="1">
      <c r="A40" s="138"/>
      <c r="B40" s="254" t="s">
        <v>218</v>
      </c>
      <c r="C40" s="254"/>
      <c r="D40" s="254"/>
      <c r="E40" s="254"/>
      <c r="F40" s="139"/>
      <c r="G40" s="140"/>
      <c r="H40" s="138"/>
    </row>
    <row r="41" spans="1:8" ht="15.75">
      <c r="A41" s="138"/>
      <c r="B41" s="164"/>
      <c r="C41" s="164"/>
      <c r="D41" s="164"/>
      <c r="E41" s="164"/>
      <c r="F41" s="139"/>
      <c r="G41" s="140"/>
      <c r="H41" s="138"/>
    </row>
    <row r="42" spans="1:9" ht="15.75">
      <c r="A42" s="167" t="s">
        <v>235</v>
      </c>
      <c r="B42" s="159"/>
      <c r="C42" s="159"/>
      <c r="D42" s="159"/>
      <c r="E42" s="159"/>
      <c r="F42" s="159"/>
      <c r="G42" s="159"/>
      <c r="H42" s="160"/>
      <c r="I42" s="160"/>
    </row>
    <row r="43" spans="1:9" ht="15.75">
      <c r="A43" s="159"/>
      <c r="B43" s="159"/>
      <c r="C43" s="159"/>
      <c r="D43" s="159"/>
      <c r="E43" s="159"/>
      <c r="F43" s="159"/>
      <c r="G43" s="159"/>
      <c r="H43" s="160"/>
      <c r="I43" s="160"/>
    </row>
    <row r="44" spans="2:5" ht="15.75">
      <c r="B44" s="33" t="s">
        <v>228</v>
      </c>
      <c r="C44" s="33"/>
      <c r="D44" s="33"/>
      <c r="E44" s="33"/>
    </row>
    <row r="45" ht="15" customHeight="1"/>
    <row r="46" spans="2:8" ht="15.75">
      <c r="B46" s="261" t="s">
        <v>226</v>
      </c>
      <c r="C46" s="261"/>
      <c r="E46" s="261" t="s">
        <v>227</v>
      </c>
      <c r="F46" s="261"/>
      <c r="G46" s="261"/>
      <c r="H46" s="261"/>
    </row>
  </sheetData>
  <mergeCells count="33">
    <mergeCell ref="B46:C46"/>
    <mergeCell ref="E46:H46"/>
    <mergeCell ref="B37:D37"/>
    <mergeCell ref="D1:H1"/>
    <mergeCell ref="A4:G4"/>
    <mergeCell ref="B6:G6"/>
    <mergeCell ref="B12:D12"/>
    <mergeCell ref="B14:F14"/>
    <mergeCell ref="B15:F15"/>
    <mergeCell ref="B36:D36"/>
    <mergeCell ref="B16:F16"/>
    <mergeCell ref="B17:F17"/>
    <mergeCell ref="B19:D19"/>
    <mergeCell ref="B20:D20"/>
    <mergeCell ref="B21:D21"/>
    <mergeCell ref="B22:D22"/>
    <mergeCell ref="B23:D23"/>
    <mergeCell ref="B24:D24"/>
    <mergeCell ref="B32:D32"/>
    <mergeCell ref="B25:D25"/>
    <mergeCell ref="B26:D26"/>
    <mergeCell ref="B27:D27"/>
    <mergeCell ref="B28:D28"/>
    <mergeCell ref="B38:D38"/>
    <mergeCell ref="B40:E40"/>
    <mergeCell ref="B13:D13"/>
    <mergeCell ref="B33:D33"/>
    <mergeCell ref="B34:D34"/>
    <mergeCell ref="B35:D35"/>
    <mergeCell ref="B29:D29"/>
    <mergeCell ref="B30:D30"/>
    <mergeCell ref="B39:E39"/>
    <mergeCell ref="B31:D31"/>
  </mergeCells>
  <printOptions/>
  <pageMargins left="0.3937007874015748" right="0.1968503937007874" top="0.1968503937007874" bottom="0.1968503937007874" header="0.5118110236220472" footer="0.5118110236220472"/>
  <pageSetup horizontalDpi="600" verticalDpi="600" orientation="portrait" paperSize="9" scale="90" r:id="rId1"/>
  <colBreaks count="1" manualBreakCount="1">
    <brk id="8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7"/>
  <sheetViews>
    <sheetView tabSelected="1" workbookViewId="0" topLeftCell="A1">
      <selection activeCell="A2" sqref="A2:K2"/>
    </sheetView>
  </sheetViews>
  <sheetFormatPr defaultColWidth="9.00390625" defaultRowHeight="15.75"/>
  <cols>
    <col min="1" max="1" width="4.375" style="0" customWidth="1"/>
    <col min="2" max="2" width="25.125" style="0" customWidth="1"/>
    <col min="3" max="3" width="3.75390625" style="0" customWidth="1"/>
    <col min="4" max="4" width="23.875" style="0" customWidth="1"/>
    <col min="5" max="5" width="17.75390625" style="0" customWidth="1"/>
    <col min="6" max="6" width="0.12890625" style="0" hidden="1" customWidth="1"/>
    <col min="7" max="7" width="9.375" style="0" hidden="1" customWidth="1"/>
    <col min="8" max="8" width="11.625" style="0" hidden="1" customWidth="1"/>
    <col min="9" max="9" width="14.75390625" style="0" hidden="1" customWidth="1"/>
    <col min="10" max="10" width="11.625" style="0" hidden="1" customWidth="1"/>
    <col min="11" max="11" width="21.375" style="0" customWidth="1"/>
    <col min="12" max="13" width="0" style="0" hidden="1" customWidth="1"/>
  </cols>
  <sheetData>
    <row r="1" spans="1:11" ht="110.25" customHeight="1">
      <c r="A1" s="196" t="s">
        <v>236</v>
      </c>
      <c r="B1" s="196"/>
      <c r="C1" s="196"/>
      <c r="D1" s="196"/>
      <c r="E1" s="196"/>
      <c r="F1" s="196"/>
      <c r="G1" s="196"/>
      <c r="H1" s="196"/>
      <c r="I1" s="196"/>
      <c r="J1" s="196"/>
      <c r="K1" s="196"/>
    </row>
    <row r="2" spans="1:11" ht="75.75" customHeight="1">
      <c r="A2" s="225" t="s">
        <v>237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</row>
    <row r="3" spans="1:6" ht="31.5">
      <c r="A3" s="1" t="s">
        <v>82</v>
      </c>
      <c r="B3" s="1" t="s">
        <v>83</v>
      </c>
      <c r="C3" s="2"/>
      <c r="D3" s="168" t="s">
        <v>238</v>
      </c>
      <c r="E3" s="26">
        <v>2690.7</v>
      </c>
      <c r="F3" s="2"/>
    </row>
    <row r="4" spans="2:6" ht="15.75">
      <c r="B4" s="3" t="s">
        <v>1</v>
      </c>
      <c r="C4" s="35">
        <v>5</v>
      </c>
      <c r="D4" s="2" t="s">
        <v>2</v>
      </c>
      <c r="E4" s="27">
        <v>60</v>
      </c>
      <c r="F4" s="2"/>
    </row>
    <row r="5" spans="2:7" ht="15.75">
      <c r="B5" s="3" t="s">
        <v>3</v>
      </c>
      <c r="C5" s="4">
        <v>4</v>
      </c>
      <c r="D5" s="2" t="s">
        <v>4</v>
      </c>
      <c r="E5" s="2" t="s">
        <v>16</v>
      </c>
      <c r="F5" s="2"/>
      <c r="G5" s="2"/>
    </row>
    <row r="6" spans="2:7" ht="15.75">
      <c r="B6" s="3"/>
      <c r="C6" s="4"/>
      <c r="D6" s="2" t="s">
        <v>5</v>
      </c>
      <c r="E6" s="2" t="s">
        <v>16</v>
      </c>
      <c r="F6" s="2"/>
      <c r="G6" s="2"/>
    </row>
    <row r="7" spans="1:13" ht="56.25" customHeight="1">
      <c r="A7" s="21" t="s">
        <v>61</v>
      </c>
      <c r="B7" s="232" t="s">
        <v>140</v>
      </c>
      <c r="C7" s="233"/>
      <c r="D7" s="234"/>
      <c r="E7" s="11" t="s">
        <v>6</v>
      </c>
      <c r="F7" s="11" t="s">
        <v>7</v>
      </c>
      <c r="G7" s="85" t="s">
        <v>239</v>
      </c>
      <c r="H7" s="143" t="s">
        <v>245</v>
      </c>
      <c r="I7" s="235" t="s">
        <v>246</v>
      </c>
      <c r="J7" s="236"/>
      <c r="K7" s="237"/>
      <c r="L7" s="56">
        <v>11</v>
      </c>
      <c r="M7" s="169" t="s">
        <v>240</v>
      </c>
    </row>
    <row r="8" spans="1:11" ht="15.75">
      <c r="A8" s="22">
        <v>1</v>
      </c>
      <c r="B8" s="222"/>
      <c r="C8" s="223"/>
      <c r="D8" s="223"/>
      <c r="E8" s="223"/>
      <c r="F8" s="224"/>
      <c r="G8" s="170"/>
      <c r="H8" s="170"/>
      <c r="I8" s="171" t="s">
        <v>142</v>
      </c>
      <c r="J8" s="88" t="s">
        <v>143</v>
      </c>
      <c r="K8" s="88" t="s">
        <v>144</v>
      </c>
    </row>
    <row r="9" spans="1:11" ht="15.75">
      <c r="A9" s="22"/>
      <c r="B9" s="222" t="s">
        <v>145</v>
      </c>
      <c r="C9" s="223"/>
      <c r="D9" s="223"/>
      <c r="E9" s="223"/>
      <c r="F9" s="224"/>
      <c r="G9" s="57"/>
      <c r="H9" s="57"/>
      <c r="I9" s="57"/>
      <c r="J9" s="57"/>
      <c r="K9" s="88"/>
    </row>
    <row r="10" spans="1:11" ht="15.75" customHeight="1">
      <c r="A10" s="90"/>
      <c r="B10" s="221" t="s">
        <v>146</v>
      </c>
      <c r="C10" s="221"/>
      <c r="D10" s="221"/>
      <c r="E10" s="221"/>
      <c r="F10" s="221"/>
      <c r="G10" s="15"/>
      <c r="H10" s="15"/>
      <c r="I10" s="91">
        <v>289424.53</v>
      </c>
      <c r="J10" s="76"/>
      <c r="K10" s="58">
        <f>I10+J10</f>
        <v>289424.53</v>
      </c>
    </row>
    <row r="11" spans="1:11" ht="15.75" customHeight="1">
      <c r="A11" s="90"/>
      <c r="B11" s="221" t="s">
        <v>147</v>
      </c>
      <c r="C11" s="221"/>
      <c r="D11" s="221"/>
      <c r="E11" s="221"/>
      <c r="F11" s="221"/>
      <c r="G11" s="15"/>
      <c r="H11" s="15"/>
      <c r="I11" s="16">
        <v>21769.38</v>
      </c>
      <c r="J11" s="76"/>
      <c r="K11" s="58">
        <f>I11+J11</f>
        <v>21769.38</v>
      </c>
    </row>
    <row r="12" spans="1:11" ht="15.75" customHeight="1">
      <c r="A12" s="22"/>
      <c r="B12" s="221" t="s">
        <v>148</v>
      </c>
      <c r="C12" s="221"/>
      <c r="D12" s="221"/>
      <c r="E12" s="221"/>
      <c r="F12" s="221"/>
      <c r="G12" s="15"/>
      <c r="H12" s="15"/>
      <c r="I12" s="91"/>
      <c r="J12" s="76">
        <v>0</v>
      </c>
      <c r="K12" s="58">
        <f>I12+J12</f>
        <v>0</v>
      </c>
    </row>
    <row r="13" spans="1:11" ht="15.75" customHeight="1">
      <c r="A13" s="22"/>
      <c r="B13" s="221" t="s">
        <v>149</v>
      </c>
      <c r="C13" s="221"/>
      <c r="D13" s="221"/>
      <c r="E13" s="221"/>
      <c r="F13" s="221"/>
      <c r="G13" s="15"/>
      <c r="H13" s="15"/>
      <c r="I13" s="91">
        <v>0</v>
      </c>
      <c r="J13" s="93">
        <v>0</v>
      </c>
      <c r="K13" s="58">
        <f>I13+J13</f>
        <v>0</v>
      </c>
    </row>
    <row r="14" spans="1:11" ht="15.75" customHeight="1">
      <c r="A14" s="22"/>
      <c r="B14" s="204" t="s">
        <v>150</v>
      </c>
      <c r="C14" s="204"/>
      <c r="D14" s="204"/>
      <c r="E14" s="204"/>
      <c r="F14" s="204"/>
      <c r="G14" s="15"/>
      <c r="H14" s="15"/>
      <c r="I14" s="41">
        <f>SUM(I10:I12)</f>
        <v>311193.91000000003</v>
      </c>
      <c r="J14" s="94">
        <f>SUM(J10:J12)</f>
        <v>0</v>
      </c>
      <c r="K14" s="113">
        <f>SUM(K10:K13)</f>
        <v>311193.91000000003</v>
      </c>
    </row>
    <row r="15" spans="1:11" ht="18.75" customHeight="1">
      <c r="A15" s="22">
        <v>2</v>
      </c>
      <c r="B15" s="265" t="s">
        <v>74</v>
      </c>
      <c r="C15" s="265"/>
      <c r="D15" s="265"/>
      <c r="E15" s="265"/>
      <c r="F15" s="265"/>
      <c r="G15" s="15"/>
      <c r="H15" s="15"/>
      <c r="I15" s="91"/>
      <c r="J15" s="76"/>
      <c r="K15" s="34"/>
    </row>
    <row r="16" spans="1:11" ht="15.75">
      <c r="A16" s="22" t="s">
        <v>151</v>
      </c>
      <c r="B16" s="172" t="s">
        <v>75</v>
      </c>
      <c r="C16" s="172"/>
      <c r="D16" s="172"/>
      <c r="E16" s="172"/>
      <c r="F16" s="173"/>
      <c r="G16" s="171"/>
      <c r="H16" s="171"/>
      <c r="I16" s="171"/>
      <c r="J16" s="84"/>
      <c r="K16" s="88"/>
    </row>
    <row r="17" spans="1:11" ht="15.75" customHeight="1">
      <c r="A17" s="95"/>
      <c r="B17" s="230" t="s">
        <v>241</v>
      </c>
      <c r="C17" s="230"/>
      <c r="D17" s="230"/>
      <c r="E17" s="153" t="s">
        <v>32</v>
      </c>
      <c r="F17" s="79" t="s">
        <v>24</v>
      </c>
      <c r="G17" s="80">
        <v>1.06</v>
      </c>
      <c r="H17" s="80">
        <v>1.12</v>
      </c>
      <c r="I17" s="97">
        <f>ROUND($E$3*G17*6,2)+ROUND($E$3*H17*($L$7-6),2)</f>
        <v>32180.769999999997</v>
      </c>
      <c r="J17" s="98"/>
      <c r="K17" s="99">
        <f>SUM(I17:J17)</f>
        <v>32180.769999999997</v>
      </c>
    </row>
    <row r="18" spans="1:11" ht="36" customHeight="1">
      <c r="A18" s="22"/>
      <c r="B18" s="183" t="s">
        <v>17</v>
      </c>
      <c r="C18" s="183"/>
      <c r="D18" s="183"/>
      <c r="E18" s="153" t="s">
        <v>32</v>
      </c>
      <c r="F18" s="79" t="s">
        <v>19</v>
      </c>
      <c r="G18" s="80">
        <v>0.28</v>
      </c>
      <c r="H18" s="80">
        <v>0.3</v>
      </c>
      <c r="I18" s="97">
        <f>ROUND($E$3*G18*6,2)+ROUND($E$3*H18*($L$7-6),2)</f>
        <v>8556.43</v>
      </c>
      <c r="J18" s="98"/>
      <c r="K18" s="99">
        <f aca="true" t="shared" si="0" ref="K18:K37">SUM(I18:J18)</f>
        <v>8556.43</v>
      </c>
    </row>
    <row r="19" spans="1:11" ht="20.25" customHeight="1">
      <c r="A19" s="22"/>
      <c r="B19" s="229" t="s">
        <v>23</v>
      </c>
      <c r="C19" s="229"/>
      <c r="D19" s="229"/>
      <c r="E19" s="174" t="s">
        <v>152</v>
      </c>
      <c r="F19" s="81" t="s">
        <v>20</v>
      </c>
      <c r="G19" s="80">
        <v>0.39</v>
      </c>
      <c r="H19" s="80">
        <v>0.41</v>
      </c>
      <c r="I19" s="97">
        <f>K19-J19</f>
        <v>9752.36</v>
      </c>
      <c r="J19" s="98"/>
      <c r="K19" s="101">
        <v>9752.36</v>
      </c>
    </row>
    <row r="20" spans="1:11" ht="20.25" customHeight="1">
      <c r="A20" s="95"/>
      <c r="B20" s="230" t="s">
        <v>31</v>
      </c>
      <c r="C20" s="230"/>
      <c r="D20" s="230"/>
      <c r="E20" s="175" t="s">
        <v>9</v>
      </c>
      <c r="F20" s="82" t="s">
        <v>10</v>
      </c>
      <c r="G20" s="80">
        <v>0.51</v>
      </c>
      <c r="H20" s="80">
        <v>0.54</v>
      </c>
      <c r="I20" s="97">
        <f>ROUND($E$3*G20*6,2)+ROUND($E$3*H20*($L$7-6),2)</f>
        <v>15498.43</v>
      </c>
      <c r="J20" s="98"/>
      <c r="K20" s="99">
        <f t="shared" si="0"/>
        <v>15498.43</v>
      </c>
    </row>
    <row r="21" spans="1:11" ht="55.5" customHeight="1">
      <c r="A21" s="22"/>
      <c r="B21" s="229" t="s">
        <v>27</v>
      </c>
      <c r="C21" s="229"/>
      <c r="D21" s="229"/>
      <c r="E21" s="174" t="s">
        <v>153</v>
      </c>
      <c r="F21" s="81" t="s">
        <v>25</v>
      </c>
      <c r="G21" s="80">
        <v>0.12</v>
      </c>
      <c r="H21" s="80">
        <v>0.13</v>
      </c>
      <c r="I21" s="97">
        <f>K21-J21</f>
        <v>3985.38</v>
      </c>
      <c r="J21" s="98"/>
      <c r="K21" s="101">
        <v>3985.38</v>
      </c>
    </row>
    <row r="22" spans="1:11" ht="20.25" customHeight="1">
      <c r="A22" s="95"/>
      <c r="B22" s="229" t="s">
        <v>11</v>
      </c>
      <c r="C22" s="229"/>
      <c r="D22" s="229"/>
      <c r="E22" s="174" t="s">
        <v>9</v>
      </c>
      <c r="F22" s="81" t="s">
        <v>12</v>
      </c>
      <c r="G22" s="80">
        <v>0</v>
      </c>
      <c r="H22" s="80">
        <v>0</v>
      </c>
      <c r="I22" s="97">
        <f>ROUND($E$3*G22*6,2)+ROUND($E$3*H22*($L$7-6),2)</f>
        <v>0</v>
      </c>
      <c r="J22" s="98"/>
      <c r="K22" s="99">
        <f t="shared" si="0"/>
        <v>0</v>
      </c>
    </row>
    <row r="23" spans="1:11" ht="31.5" customHeight="1">
      <c r="A23" s="95"/>
      <c r="B23" s="229" t="s">
        <v>26</v>
      </c>
      <c r="C23" s="185"/>
      <c r="D23" s="185"/>
      <c r="E23" s="176" t="s">
        <v>13</v>
      </c>
      <c r="F23" s="78" t="s">
        <v>14</v>
      </c>
      <c r="G23" s="80">
        <v>0.05</v>
      </c>
      <c r="H23" s="80">
        <v>0.05</v>
      </c>
      <c r="I23" s="97">
        <f>K23-J23</f>
        <v>4071.75</v>
      </c>
      <c r="J23" s="98"/>
      <c r="K23" s="101">
        <v>4071.75</v>
      </c>
    </row>
    <row r="24" spans="1:11" ht="56.25" customHeight="1">
      <c r="A24" s="22"/>
      <c r="B24" s="229" t="s">
        <v>154</v>
      </c>
      <c r="C24" s="229"/>
      <c r="D24" s="229"/>
      <c r="E24" s="153" t="s">
        <v>242</v>
      </c>
      <c r="F24" s="39" t="s">
        <v>81</v>
      </c>
      <c r="G24" s="80">
        <v>2.15</v>
      </c>
      <c r="H24" s="80">
        <v>2.28</v>
      </c>
      <c r="I24" s="97">
        <f>ROUND($E$3*G24*6,2)+ROUND($E$3*H24*($L$7-6),2)</f>
        <v>65384.009999999995</v>
      </c>
      <c r="J24" s="98"/>
      <c r="K24" s="99">
        <f t="shared" si="0"/>
        <v>65384.009999999995</v>
      </c>
    </row>
    <row r="25" spans="1:11" ht="52.5" customHeight="1">
      <c r="A25" s="22"/>
      <c r="B25" s="183" t="s">
        <v>15</v>
      </c>
      <c r="C25" s="183"/>
      <c r="D25" s="183"/>
      <c r="E25" s="153" t="s">
        <v>138</v>
      </c>
      <c r="F25" s="39" t="s">
        <v>81</v>
      </c>
      <c r="G25" s="80">
        <v>0.44</v>
      </c>
      <c r="H25" s="80">
        <v>0</v>
      </c>
      <c r="I25" s="97">
        <f>K25-J25</f>
        <v>0</v>
      </c>
      <c r="J25" s="98"/>
      <c r="K25" s="99">
        <v>0</v>
      </c>
    </row>
    <row r="26" spans="1:11" ht="30" customHeight="1">
      <c r="A26" s="22"/>
      <c r="B26" s="228" t="s">
        <v>37</v>
      </c>
      <c r="C26" s="193"/>
      <c r="D26" s="194"/>
      <c r="E26" s="153" t="s">
        <v>36</v>
      </c>
      <c r="F26" s="39" t="s">
        <v>81</v>
      </c>
      <c r="G26" s="36">
        <f>3.46-G27-G28</f>
        <v>3.46</v>
      </c>
      <c r="H26" s="80">
        <f>3.67-H27-H28</f>
        <v>3.67</v>
      </c>
      <c r="I26" s="97">
        <f>ROUND($E$3*G26*6,2)+ROUND($E$3*H26*($L$7-6),2)</f>
        <v>105233.28</v>
      </c>
      <c r="J26" s="105"/>
      <c r="K26" s="99">
        <f t="shared" si="0"/>
        <v>105233.28</v>
      </c>
    </row>
    <row r="27" spans="1:11" ht="26.25" customHeight="1">
      <c r="A27" s="95"/>
      <c r="B27" s="229" t="s">
        <v>155</v>
      </c>
      <c r="C27" s="229"/>
      <c r="D27" s="229"/>
      <c r="E27" s="174" t="s">
        <v>9</v>
      </c>
      <c r="F27" s="39" t="s">
        <v>81</v>
      </c>
      <c r="G27" s="36">
        <v>0</v>
      </c>
      <c r="H27" s="80">
        <v>0</v>
      </c>
      <c r="I27" s="177">
        <f>ROUND($E$3*G27*6,2)+ROUND($E$3*H27*($L$7-6),2)</f>
        <v>0</v>
      </c>
      <c r="J27" s="105"/>
      <c r="K27" s="99">
        <f t="shared" si="0"/>
        <v>0</v>
      </c>
    </row>
    <row r="28" spans="1:11" ht="28.5" customHeight="1">
      <c r="A28" s="22"/>
      <c r="B28" s="229" t="s">
        <v>156</v>
      </c>
      <c r="C28" s="229"/>
      <c r="D28" s="229"/>
      <c r="E28" s="174" t="s">
        <v>9</v>
      </c>
      <c r="F28" s="39" t="s">
        <v>81</v>
      </c>
      <c r="G28" s="36">
        <v>0</v>
      </c>
      <c r="H28" s="80">
        <v>0</v>
      </c>
      <c r="I28" s="177">
        <f>ROUND($E$3*G28*6,2)+ROUND($E$3*H28*($L$7-6),2)</f>
        <v>0</v>
      </c>
      <c r="J28" s="105"/>
      <c r="K28" s="99">
        <f t="shared" si="0"/>
        <v>0</v>
      </c>
    </row>
    <row r="29" spans="1:11" ht="27" customHeight="1">
      <c r="A29" s="22"/>
      <c r="B29" s="185" t="s">
        <v>21</v>
      </c>
      <c r="C29" s="185"/>
      <c r="D29" s="185"/>
      <c r="E29" s="153" t="s">
        <v>36</v>
      </c>
      <c r="F29" s="39" t="s">
        <v>81</v>
      </c>
      <c r="G29" s="78">
        <v>1.06</v>
      </c>
      <c r="H29" s="80">
        <v>1.12</v>
      </c>
      <c r="I29" s="97">
        <f>ROUND($E$3*G29*6,2)+ROUND($E$3*H29*($L$7-6),2)</f>
        <v>32180.769999999997</v>
      </c>
      <c r="J29" s="98"/>
      <c r="K29" s="99">
        <f t="shared" si="0"/>
        <v>32180.769999999997</v>
      </c>
    </row>
    <row r="30" spans="1:11" ht="15.75">
      <c r="A30" s="22"/>
      <c r="B30" s="192"/>
      <c r="C30" s="193"/>
      <c r="D30" s="194"/>
      <c r="E30" s="100"/>
      <c r="F30" s="39"/>
      <c r="G30" s="78"/>
      <c r="H30" s="78"/>
      <c r="I30" s="104"/>
      <c r="J30" s="93"/>
      <c r="K30" s="106"/>
    </row>
    <row r="31" spans="1:11" ht="15.75">
      <c r="A31" s="22"/>
      <c r="B31" s="266" t="s">
        <v>30</v>
      </c>
      <c r="C31" s="266"/>
      <c r="D31" s="266"/>
      <c r="E31" s="22"/>
      <c r="F31" s="39"/>
      <c r="G31" s="23">
        <f>SUM(G17:G29)</f>
        <v>9.520000000000001</v>
      </c>
      <c r="H31" s="23">
        <f>SUM(H17:H29)</f>
        <v>9.620000000000001</v>
      </c>
      <c r="I31" s="113">
        <f>SUM(I17:I30)</f>
        <v>276843.18</v>
      </c>
      <c r="J31" s="94"/>
      <c r="K31" s="113">
        <f>SUM(K17:K30)</f>
        <v>276843.18</v>
      </c>
    </row>
    <row r="32" spans="1:11" ht="15.75" hidden="1">
      <c r="A32" s="22"/>
      <c r="B32" s="186" t="s">
        <v>157</v>
      </c>
      <c r="C32" s="187"/>
      <c r="D32" s="188"/>
      <c r="E32" s="100" t="s">
        <v>9</v>
      </c>
      <c r="F32" s="39"/>
      <c r="G32" s="78"/>
      <c r="H32" s="78"/>
      <c r="I32" s="104"/>
      <c r="J32" s="93"/>
      <c r="K32" s="106"/>
    </row>
    <row r="33" spans="1:11" ht="25.5" hidden="1">
      <c r="A33" s="22"/>
      <c r="B33" s="186" t="s">
        <v>158</v>
      </c>
      <c r="C33" s="187"/>
      <c r="D33" s="188"/>
      <c r="E33" s="96" t="s">
        <v>36</v>
      </c>
      <c r="F33" s="39"/>
      <c r="G33" s="78"/>
      <c r="H33" s="78"/>
      <c r="I33" s="104"/>
      <c r="J33" s="93"/>
      <c r="K33" s="106"/>
    </row>
    <row r="34" spans="1:11" ht="15.75" hidden="1">
      <c r="A34" s="22"/>
      <c r="B34" s="192"/>
      <c r="C34" s="193"/>
      <c r="D34" s="194"/>
      <c r="E34" s="100"/>
      <c r="F34" s="39"/>
      <c r="G34" s="78"/>
      <c r="H34" s="78"/>
      <c r="I34" s="104"/>
      <c r="J34" s="93"/>
      <c r="K34" s="106"/>
    </row>
    <row r="35" spans="1:11" ht="38.25" customHeight="1">
      <c r="A35" s="22" t="s">
        <v>159</v>
      </c>
      <c r="B35" s="195" t="s">
        <v>160</v>
      </c>
      <c r="C35" s="189"/>
      <c r="D35" s="189"/>
      <c r="E35" s="184"/>
      <c r="F35" s="39" t="s">
        <v>81</v>
      </c>
      <c r="G35" s="23">
        <f>I35/E3/6</f>
        <v>0</v>
      </c>
      <c r="H35" s="23">
        <v>0</v>
      </c>
      <c r="I35" s="178">
        <v>0</v>
      </c>
      <c r="J35" s="109"/>
      <c r="K35" s="113">
        <f t="shared" si="0"/>
        <v>0</v>
      </c>
    </row>
    <row r="36" spans="1:11" ht="15" customHeight="1">
      <c r="A36" s="25"/>
      <c r="B36" s="227" t="s">
        <v>76</v>
      </c>
      <c r="C36" s="227"/>
      <c r="D36" s="227"/>
      <c r="E36" s="227"/>
      <c r="F36" s="227"/>
      <c r="G36" s="23">
        <f>SUM(G31:G35)</f>
        <v>9.520000000000001</v>
      </c>
      <c r="H36" s="23">
        <f>SUM(H31:H35)</f>
        <v>9.620000000000001</v>
      </c>
      <c r="I36" s="179">
        <f>SUM(I31:I35)</f>
        <v>276843.18</v>
      </c>
      <c r="J36" s="180"/>
      <c r="K36" s="180">
        <f>SUM(K31:K35)</f>
        <v>276843.18</v>
      </c>
    </row>
    <row r="37" spans="1:11" ht="14.25" customHeight="1">
      <c r="A37" s="22" t="s">
        <v>161</v>
      </c>
      <c r="B37" s="227" t="s">
        <v>162</v>
      </c>
      <c r="C37" s="227"/>
      <c r="D37" s="227"/>
      <c r="E37" s="227"/>
      <c r="F37" s="227"/>
      <c r="G37" s="23"/>
      <c r="H37" s="23"/>
      <c r="I37" s="111">
        <v>0</v>
      </c>
      <c r="J37" s="111"/>
      <c r="K37" s="181">
        <f t="shared" si="0"/>
        <v>0</v>
      </c>
    </row>
    <row r="38" spans="1:11" ht="18.75">
      <c r="A38" s="25"/>
      <c r="B38" s="227" t="s">
        <v>163</v>
      </c>
      <c r="C38" s="227"/>
      <c r="D38" s="227"/>
      <c r="E38" s="227"/>
      <c r="F38" s="227"/>
      <c r="G38" s="23">
        <f>SUM(G36:G37)</f>
        <v>9.520000000000001</v>
      </c>
      <c r="H38" s="23">
        <f>SUM(H36:H37)</f>
        <v>9.620000000000001</v>
      </c>
      <c r="I38" s="179">
        <f>SUM(I36:I37)</f>
        <v>276843.18</v>
      </c>
      <c r="J38" s="180"/>
      <c r="K38" s="180">
        <f>SUM(K36:K37)</f>
        <v>276843.18</v>
      </c>
    </row>
    <row r="39" spans="1:11" ht="15" customHeight="1">
      <c r="A39" s="22">
        <v>3</v>
      </c>
      <c r="B39" s="267" t="s">
        <v>247</v>
      </c>
      <c r="C39" s="207"/>
      <c r="D39" s="207"/>
      <c r="E39" s="207"/>
      <c r="F39" s="207"/>
      <c r="G39" s="208"/>
      <c r="H39" s="142"/>
      <c r="I39" s="97">
        <f>I14-I38</f>
        <v>34350.73000000004</v>
      </c>
      <c r="J39" s="97"/>
      <c r="K39" s="94">
        <f>K14-K38</f>
        <v>34350.73000000004</v>
      </c>
    </row>
    <row r="40" spans="2:6" ht="15.75" customHeight="1">
      <c r="B40" s="33"/>
      <c r="F40" s="33"/>
    </row>
    <row r="41" spans="2:10" ht="15.75">
      <c r="B41" s="191" t="s">
        <v>243</v>
      </c>
      <c r="C41" s="191"/>
      <c r="D41" s="191"/>
      <c r="E41" s="191"/>
      <c r="F41" s="191"/>
      <c r="G41" s="191"/>
      <c r="H41" s="191"/>
      <c r="I41" s="191"/>
      <c r="J41" s="191"/>
    </row>
    <row r="42" spans="2:4" ht="15.75">
      <c r="B42" s="33"/>
      <c r="C42" s="33"/>
      <c r="D42" s="33"/>
    </row>
    <row r="43" spans="2:4" ht="15.75">
      <c r="B43" s="37" t="s">
        <v>79</v>
      </c>
      <c r="C43" s="37"/>
      <c r="D43" s="37"/>
    </row>
    <row r="44" spans="2:9" ht="15.75">
      <c r="B44" s="48" t="s">
        <v>213</v>
      </c>
      <c r="C44" s="33"/>
      <c r="D44" s="33"/>
      <c r="E44" s="33"/>
      <c r="F44" s="33"/>
      <c r="G44" s="33"/>
      <c r="H44" s="33"/>
      <c r="I44" s="33"/>
    </row>
    <row r="45" spans="2:4" ht="15.75" customHeight="1">
      <c r="B45" s="201" t="s">
        <v>85</v>
      </c>
      <c r="C45" s="201"/>
      <c r="D45" s="201"/>
    </row>
    <row r="47" ht="15.75">
      <c r="B47" t="s">
        <v>244</v>
      </c>
    </row>
  </sheetData>
  <mergeCells count="37">
    <mergeCell ref="B45:D45"/>
    <mergeCell ref="A1:K1"/>
    <mergeCell ref="A2:K2"/>
    <mergeCell ref="I7:K7"/>
    <mergeCell ref="B35:E35"/>
    <mergeCell ref="B36:F36"/>
    <mergeCell ref="B39:G39"/>
    <mergeCell ref="B41:J41"/>
    <mergeCell ref="B37:F37"/>
    <mergeCell ref="B38:F38"/>
    <mergeCell ref="B28:D28"/>
    <mergeCell ref="B33:D33"/>
    <mergeCell ref="B34:D34"/>
    <mergeCell ref="B29:D29"/>
    <mergeCell ref="B30:D30"/>
    <mergeCell ref="B31:D31"/>
    <mergeCell ref="B32:D32"/>
    <mergeCell ref="B24:D24"/>
    <mergeCell ref="B25:D25"/>
    <mergeCell ref="B26:D26"/>
    <mergeCell ref="B27:D27"/>
    <mergeCell ref="B20:D20"/>
    <mergeCell ref="B21:D21"/>
    <mergeCell ref="B22:D22"/>
    <mergeCell ref="B23:D23"/>
    <mergeCell ref="B15:F15"/>
    <mergeCell ref="B17:D17"/>
    <mergeCell ref="B18:D18"/>
    <mergeCell ref="B19:D19"/>
    <mergeCell ref="B11:F11"/>
    <mergeCell ref="B12:F12"/>
    <mergeCell ref="B13:F13"/>
    <mergeCell ref="B14:F14"/>
    <mergeCell ref="B7:D7"/>
    <mergeCell ref="B8:F8"/>
    <mergeCell ref="B9:F9"/>
    <mergeCell ref="B10:F10"/>
  </mergeCells>
  <printOptions/>
  <pageMargins left="0.7874015748031497" right="0.7874015748031497" top="0" bottom="0" header="0.5118110236220472" footer="0.5118110236220472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УК Октябрьская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Е. Шевякова</dc:creator>
  <cp:keywords/>
  <dc:description/>
  <cp:lastModifiedBy>Ветер</cp:lastModifiedBy>
  <cp:lastPrinted>2013-02-28T09:31:14Z</cp:lastPrinted>
  <dcterms:created xsi:type="dcterms:W3CDTF">2009-08-26T03:25:10Z</dcterms:created>
  <dcterms:modified xsi:type="dcterms:W3CDTF">2013-03-25T08:13:34Z</dcterms:modified>
  <cp:category/>
  <cp:version/>
  <cp:contentType/>
  <cp:contentStatus/>
</cp:coreProperties>
</file>