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61" yWindow="65476" windowWidth="15480" windowHeight="11640" tabRatio="699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07.12" sheetId="7" state="hidden" r:id="rId7"/>
    <sheet name="план2013" sheetId="8" state="hidden" r:id="rId8"/>
    <sheet name="отчет12(07-12)" sheetId="9" r:id="rId9"/>
    <sheet name="накопит отчет" sheetId="10" state="hidden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<sst xmlns="http://schemas.openxmlformats.org/spreadsheetml/2006/main" count="807" uniqueCount="262">
  <si>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</si>
  <si>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</si>
  <si>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</si>
  <si>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</si>
  <si>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</si>
  <si>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</si>
  <si>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</si>
  <si>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</si>
  <si>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</si>
  <si>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</si>
  <si>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</si>
  <si>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</si>
  <si>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</si>
  <si>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</si>
  <si>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</si>
  <si>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</si>
  <si>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есть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</si>
  <si>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</si>
  <si>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</si>
  <si>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</si>
  <si>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</si>
  <si>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</si>
  <si>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</si>
  <si>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</si>
  <si>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</si>
  <si>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</si>
  <si>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</si>
  <si>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</si>
  <si>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</si>
  <si>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</si>
  <si>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</si>
  <si>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</si>
  <si>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</si>
  <si>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</si>
  <si>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</si>
  <si>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</si>
  <si>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</si>
  <si>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</si>
  <si>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</si>
  <si>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</si>
  <si>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</si>
  <si>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</si>
  <si>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</si>
  <si>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</si>
  <si>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</si>
  <si>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</si>
  <si>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</si>
  <si>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</si>
  <si>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</si>
  <si>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</si>
  <si>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</si>
  <si>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</si>
  <si>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</si>
  <si>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</si>
  <si>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</si>
  <si>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</si>
  <si>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</si>
  <si>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</si>
  <si>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</si>
  <si>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</si>
  <si>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</si>
  <si>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</si>
  <si>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</si>
  <si>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</si>
  <si>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</si>
  <si>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>Затраты на содержание общедомового имущества:</t>
  </si>
  <si>
    <t>Обязательные работы, в том числе:</t>
  </si>
  <si>
    <t xml:space="preserve"> - долг (+), переплата (-)  за 2009 год</t>
  </si>
  <si>
    <t xml:space="preserve">Финансовый результат за 2008г. (+ экономия,- перерасход)                                                      </t>
  </si>
  <si>
    <t xml:space="preserve"> Итого затрат:</t>
  </si>
  <si>
    <t xml:space="preserve">Финансовый результат на 01.01.2010г. (+ экономия,- перерасход) , гр.6.1.+  гр.6.2.                                                   </t>
  </si>
  <si>
    <t xml:space="preserve">Содержание и уборка придомовой территории </t>
  </si>
  <si>
    <t xml:space="preserve">Финансовый результат за 2009г. (+ экономия,- перерасход),   гр.2  -  гр.5.3                                                 </t>
  </si>
  <si>
    <t xml:space="preserve"> Долг (+), переплата (-) на 01.01.2009г.</t>
  </si>
  <si>
    <t xml:space="preserve"> Долг (+), переплата (-) на 01.01.2010г.</t>
  </si>
  <si>
    <t xml:space="preserve"> -  за содержание</t>
  </si>
  <si>
    <t xml:space="preserve"> -  за  текущий ремонт </t>
  </si>
  <si>
    <t>Адрес: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</si>
  <si>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</si>
  <si>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</si>
  <si>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</si>
  <si>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Противопожарные мероприятия:  содержание и обслуживание вентканалов и шахт</t>
  </si>
  <si>
    <t>ООО "ОЖКС № 6"</t>
  </si>
  <si>
    <t>ОТЧЕТ
за  2009 г. о выполненнии условий  договора управления МКД
№579/6 от 04.08.2008 г., заключенного между ООО "ОЖКС №6" 
и собственниками многоквартирного дома
по адресу: ул. М. Жукова, 3</t>
  </si>
  <si>
    <t>ул. М.Жукова, 3</t>
  </si>
  <si>
    <t>нет</t>
  </si>
  <si>
    <t xml:space="preserve">                    Представитель собственников  - старший по дому Полянская В.Ф.,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</si>
  <si>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Претензий по управлению нет (да)</t>
  </si>
  <si>
    <t xml:space="preserve">Старший по дому                                                         В.Ф. Полянская                                </t>
  </si>
  <si>
    <t>ОТЧЕТ
о выполненных работах в 2008 году по договору управления МКД 
№579 от 04.08.2008 г., заключенного между ООО "ОЖКС №6" и собственниками многоквартирного дома
по адресу:  ул. м. Жукова, 3.</t>
  </si>
  <si>
    <t xml:space="preserve">            Представитель собственников  - старший по дому 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</si>
  <si>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</si>
  <si>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</si>
  <si>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</si>
  <si>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</si>
  <si>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</si>
  <si>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</si>
  <si>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</si>
  <si>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</si>
  <si>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</si>
  <si>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</si>
  <si>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</si>
  <si>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</si>
  <si>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</si>
  <si>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</si>
  <si>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</si>
  <si>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</si>
  <si>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</si>
  <si>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</si>
  <si>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</si>
  <si>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</si>
  <si>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</si>
  <si>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</si>
  <si>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</si>
  <si>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</si>
  <si>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</si>
  <si>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</si>
  <si>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</si>
  <si>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</si>
  <si>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</si>
  <si>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</si>
  <si>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</si>
  <si>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</si>
  <si>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</si>
  <si>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</si>
  <si>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</si>
  <si>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</si>
  <si>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</si>
  <si>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</si>
  <si>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</si>
  <si>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</si>
  <si>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</si>
  <si>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Старший по дому                                                                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</si>
  <si>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</si>
  <si>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</si>
  <si>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</si>
  <si>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</si>
  <si>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</si>
  <si>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</si>
  <si>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ООО  "ОЖКС № 6"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</si>
  <si>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</si>
  <si>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</si>
  <si>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</si>
  <si>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</si>
  <si>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</si>
  <si>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</si>
  <si>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</si>
  <si>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</si>
  <si>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</si>
  <si>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</si>
  <si>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</si>
  <si>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</si>
  <si>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</si>
  <si>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</si>
  <si>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</si>
  <si>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</si>
  <si>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</si>
  <si>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</si>
  <si>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</si>
  <si>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</si>
  <si>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</si>
  <si>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</si>
  <si>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</si>
  <si>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</si>
  <si>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</si>
  <si>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</si>
  <si>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</si>
  <si>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</si>
  <si>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</si>
  <si>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</si>
  <si>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</si>
  <si>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</si>
  <si>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</si>
  <si>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</si>
  <si>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</si>
  <si>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</si>
  <si>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</si>
  <si>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</si>
  <si>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</si>
  <si>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</si>
  <si>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</si>
  <si>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</si>
  <si>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</si>
  <si>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</si>
  <si>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</si>
  <si>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</si>
  <si>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</si>
  <si>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</si>
  <si>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</si>
  <si>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</si>
  <si>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Тариф на 
1 кв.м.
руб.</t>
  </si>
  <si>
    <t xml:space="preserve"> - ожидаемый сбор на содержание и текущий ремонт общего имущества жилого дома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</si>
  <si>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</si>
  <si>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</si>
  <si>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</si>
  <si>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</si>
  <si>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>ОТЧЕТ
за  2010 г. о выполненнии условий  договора управления МКД 
№579/6 от 04.08.2008 г., заключенного между ООО "ОЖКС №6" 
и собственниками многоквартирного дома
по адресу: ул. М. Жукова, 3</t>
  </si>
  <si>
    <t xml:space="preserve">                    Представитель собственников  - старший по дому Полянская В.Ф.,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2010 году.  </t>
  </si>
  <si>
    <t>Смета 
доходов и расходов на  2011 г. согласно договора управления МКД 
№579/6 от 04.08.2008 г., заключенного между ООО "ОЖКС №6" 
и собственниками многоквартирного дома
по адресу: ул. М. Жукова, 3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</si>
  <si>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</si>
  <si>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Итого</t>
  </si>
  <si>
    <t>Сбор, вывоз  бытового мусора, содержание  контейнерных площадок</t>
  </si>
  <si>
    <t>результат
 за год
(+эконом., 
-перерасх.)</t>
  </si>
  <si>
    <t xml:space="preserve">                    Представитель собственников  - старший по дому 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2011 году.  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</si>
  <si>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</si>
  <si>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>Старший по дому                                                        ____________________</t>
  </si>
  <si>
    <t xml:space="preserve">Финансовый результат за 2011г. (+ экономия,- перерасход)                                                    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</si>
  <si>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</si>
  <si>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</si>
  <si>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ОТЧЕТ
за  2011 г. о выполненнии условий  договора управления МКД 
№ 1 от 04.08.2008 г., заключенного между ООО "ОЖКС №6" 
и собственниками многоквартирного дома
по адресу: ул. М. Жукова, 3</t>
  </si>
  <si>
    <t>Смета 
доходов и расходов на  2012 г. согласно договора управления МКД 
№ 1 от 04.08.2008 г., заключенного между ООО "ОЖКС №6" 
и собственниками многоквартирного дома
по адресу: ул. М. Жукова, 3</t>
  </si>
  <si>
    <t xml:space="preserve">          Приложение №7 к Договору                                                                 на оказание услуг и  выполнение работ                                                        по содержанию, текущему и капитальному ремонту                              общего имущества МКД № ___ от "____"___________2012г.</t>
  </si>
  <si>
    <t>Расчет стоимости договора и тарифа 1 м2 на 2012г.</t>
  </si>
  <si>
    <t>1.1.</t>
  </si>
  <si>
    <t xml:space="preserve"> Текущий ремонт общего имущества  </t>
  </si>
  <si>
    <t>по плану работ</t>
  </si>
  <si>
    <t>1.2.</t>
  </si>
  <si>
    <t>1.3.</t>
  </si>
  <si>
    <t>* в случае уточнения площадей возможно изменение стоимости</t>
  </si>
  <si>
    <t xml:space="preserve">Директор ООО "Октябрьский ЖКС № 6"                       </t>
  </si>
  <si>
    <t xml:space="preserve">                       Представитель Собственников</t>
  </si>
  <si>
    <t>_________________ Л.И. Никашина</t>
  </si>
  <si>
    <t xml:space="preserve">                           ________________________</t>
  </si>
  <si>
    <t>Подъезд № 3 кв. № 64-95 уборка лестничных площадок не производится по заявлению жителей с 01.07.2012г.</t>
  </si>
  <si>
    <t>подметание асфальта -   1 раз/неделю,                
подбор мусора - ежедневно</t>
  </si>
  <si>
    <r>
      <t>Обслуживание прибора учета тепловой энергии</t>
    </r>
    <r>
      <rPr>
        <b/>
        <sz val="10"/>
        <rFont val="Times New Roman"/>
        <family val="1"/>
      </rPr>
      <t xml:space="preserve">                  (плата за прибор учета с распределением пропорционально площади помещений)</t>
    </r>
  </si>
  <si>
    <t>согласно протокола общего собрания</t>
  </si>
  <si>
    <t>ООО  "ОЖКС №4"</t>
  </si>
  <si>
    <t>5=гр.4*Sдома*6мес.</t>
  </si>
  <si>
    <t>Тариф 
на 1 кв.м. июля-декабрь 2012г.
руб.</t>
  </si>
  <si>
    <t>Стоимость работ
июль-декабрь 2012г.             руб.</t>
  </si>
  <si>
    <t>Тариф с 1 июля 2012 г. - 15,36 руб., капитальный ремонт - 0 руб.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</si>
  <si>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</si>
  <si>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</si>
  <si>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</si>
  <si>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</si>
  <si>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>Сбор, вывоз  бытового мусора</t>
  </si>
  <si>
    <t>Дворовое освещение</t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</si>
  <si>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</si>
  <si>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</si>
  <si>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</si>
  <si>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</si>
  <si>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29/6 от 12.06.2012 г., 
заключенного между ООО "ОЖКС № 6"   
и собственниками многоквартирного дома
по адресу:  ул. М.Жукова, 3</t>
  </si>
  <si>
    <t>6=(гр.4*Sдома*6мес.)+(гр.5*Sдома*6мес.)</t>
  </si>
  <si>
    <t xml:space="preserve">                     Совет МКД в лице 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с 01.07.12г. по 31.12.12г.</t>
  </si>
  <si>
    <t xml:space="preserve"> - прочие доходы </t>
  </si>
  <si>
    <t>Исполнитель: Стыценкова И.А.</t>
  </si>
  <si>
    <t>кол-во мес по нов. дог-ру</t>
  </si>
  <si>
    <t>Сбор, вывоз  бытового мусора, содержание контейнерных площадок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</si>
  <si>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</si>
  <si>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</si>
  <si>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</si>
  <si>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Тариф 01.07.12г-31.12.12г.</t>
  </si>
  <si>
    <t>Сумма 
с 01.07.12г.-31.12.12г., руб.</t>
  </si>
  <si>
    <t>ОТЧЕТ
с 01.07.12г. по 31.12.12г. о выполненнии условий  договора на оказания услуг МКД 
№ 29/6 от 12.06.2012 г., заключенного между ООО "ОЖКС № 6" 
и собственниками многоквартирного дома
по адресу: ул. М. Жукова, 3</t>
  </si>
  <si>
    <t xml:space="preserve">Финансовый результат с 01.07.12 - 31.12.12г. (+ экономия,- перерасход)                                                      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</si>
  <si>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</si>
  <si>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</si>
  <si>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</si>
  <si>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</si>
  <si>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на оказания услуг МКД 
№ 29/6 от 12.06.2012 г., заключенного между ООО "ОЖКС №6" и собственниками многоквартирного дома
по адресу:  ул. М.Жукова, 3</t>
  </si>
  <si>
    <t>с 01.07.12г.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</si>
</sst>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10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0"/>
    </font>
    <font>
      <b/>
      <i/>
      <sz val="14"/>
      <name val="Times New Roman"/>
      <family val="1"/>
    </font>
    <font>
      <sz val="8"/>
      <color indexed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0" xfId="0" applyNumberFormat="1" applyFont="1" applyFill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0" fontId="2" fillId="0" borderId="26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16" fontId="2" fillId="0" borderId="15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170" fontId="2" fillId="0" borderId="16" xfId="0" applyNumberFormat="1" applyFont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 wrapText="1"/>
    </xf>
    <xf numFmtId="170" fontId="2" fillId="0" borderId="20" xfId="0" applyNumberFormat="1" applyFont="1" applyBorder="1" applyAlignment="1">
      <alignment horizontal="center" vertical="center"/>
    </xf>
    <xf numFmtId="170" fontId="2" fillId="0" borderId="20" xfId="0" applyNumberFormat="1" applyFont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2" fontId="31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38</xdr:row>
      <xdr:rowOff>9525</xdr:rowOff>
    </xdr:from>
    <xdr:to>
      <xdr:col>8</xdr:col>
      <xdr:colOff>0</xdr:colOff>
      <xdr:row>38</xdr:row>
      <xdr:rowOff>476250</xdr:rowOff>
    </xdr:to>
    <xdr:sp>
      <xdr:nvSpPr>
        <xdr:cNvPr id="1" name="Rectangle 1"/>
        <xdr:cNvSpPr>
          <a:spLocks/>
        </xdr:cNvSpPr>
      </xdr:nvSpPr>
      <xdr:spPr>
        <a:xfrm>
          <a:off x="7153275" y="1075372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34</xdr:row>
      <xdr:rowOff>9525</xdr:rowOff>
    </xdr:from>
    <xdr:to>
      <xdr:col>8</xdr:col>
      <xdr:colOff>0</xdr:colOff>
      <xdr:row>34</xdr:row>
      <xdr:rowOff>476250</xdr:rowOff>
    </xdr:to>
    <xdr:sp>
      <xdr:nvSpPr>
        <xdr:cNvPr id="1" name="Rectangle 1"/>
        <xdr:cNvSpPr>
          <a:spLocks/>
        </xdr:cNvSpPr>
      </xdr:nvSpPr>
      <xdr:spPr>
        <a:xfrm>
          <a:off x="7000875" y="113823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  <xdr:twoCellAnchor>
    <xdr:from>
      <xdr:col>8</xdr:col>
      <xdr:colOff>0</xdr:colOff>
      <xdr:row>34</xdr:row>
      <xdr:rowOff>9525</xdr:rowOff>
    </xdr:from>
    <xdr:to>
      <xdr:col>8</xdr:col>
      <xdr:colOff>0</xdr:colOff>
      <xdr:row>34</xdr:row>
      <xdr:rowOff>476250</xdr:rowOff>
    </xdr:to>
    <xdr:sp>
      <xdr:nvSpPr>
        <xdr:cNvPr id="2" name="Rectangle 1"/>
        <xdr:cNvSpPr>
          <a:spLocks/>
        </xdr:cNvSpPr>
      </xdr:nvSpPr>
      <xdr:spPr>
        <a:xfrm>
          <a:off x="7000875" y="11382375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(с прибора учета                в месяц)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125" style="0" customWidth="1"/>
    <col min="5" max="5" width="13.50390625" style="0" customWidth="1"/>
  </cols>
  <sheetData>
    <row r="1" spans="1:4" ht="104.25" customHeight="1">
      <c r="A1" s="224" t="s">
        <v>89</v>
      </c>
      <c r="B1" s="225"/>
      <c r="C1" s="225"/>
      <c r="D1" s="225"/>
    </row>
    <row r="2" spans="1:5" ht="80.25" customHeight="1">
      <c r="A2" s="226" t="s">
        <v>90</v>
      </c>
      <c r="B2" s="227"/>
      <c r="C2" s="227"/>
      <c r="D2" s="227"/>
      <c r="E2" t="s">
        <v>80</v>
      </c>
    </row>
    <row r="3" spans="1:5" ht="35.25" customHeight="1">
      <c r="A3" s="23" t="s">
        <v>91</v>
      </c>
      <c r="B3" s="23" t="s">
        <v>92</v>
      </c>
      <c r="C3" s="11" t="s">
        <v>93</v>
      </c>
      <c r="D3" s="51" t="s">
        <v>94</v>
      </c>
      <c r="E3" s="52" t="s">
        <v>95</v>
      </c>
    </row>
    <row r="4" spans="1:5" ht="18.75" customHeight="1">
      <c r="A4" s="53" t="s">
        <v>96</v>
      </c>
      <c r="B4" s="54" t="s">
        <v>97</v>
      </c>
      <c r="C4" s="11" t="s">
        <v>98</v>
      </c>
      <c r="D4" s="55">
        <v>9</v>
      </c>
      <c r="E4" s="55">
        <v>9</v>
      </c>
    </row>
    <row r="5" spans="1:5" ht="15.75">
      <c r="A5" s="56" t="s">
        <v>99</v>
      </c>
      <c r="B5" s="57" t="s">
        <v>100</v>
      </c>
      <c r="C5" s="58" t="s">
        <v>101</v>
      </c>
      <c r="D5" s="59">
        <v>6693.9</v>
      </c>
      <c r="E5" s="59">
        <v>6693.9</v>
      </c>
    </row>
    <row r="6" spans="1:5" ht="14.25" customHeight="1">
      <c r="A6" s="56" t="s">
        <v>102</v>
      </c>
      <c r="B6" s="57" t="s">
        <v>103</v>
      </c>
      <c r="C6" s="58" t="s">
        <v>98</v>
      </c>
      <c r="D6" s="60">
        <v>127</v>
      </c>
      <c r="E6" s="60">
        <v>127</v>
      </c>
    </row>
    <row r="7" spans="1:5" ht="16.5" customHeight="1">
      <c r="A7" s="56" t="s">
        <v>104</v>
      </c>
      <c r="B7" s="57" t="s">
        <v>105</v>
      </c>
      <c r="C7" s="50"/>
      <c r="D7" s="59"/>
      <c r="E7" s="59"/>
    </row>
    <row r="8" spans="1:5" ht="15.75">
      <c r="A8" s="61" t="s">
        <v>106</v>
      </c>
      <c r="B8" s="57" t="s">
        <v>107</v>
      </c>
      <c r="C8" s="50"/>
      <c r="D8" s="59"/>
      <c r="E8" s="59"/>
    </row>
    <row r="9" spans="1:5" ht="17.25" customHeight="1">
      <c r="A9" s="62"/>
      <c r="B9" s="35" t="s">
        <v>108</v>
      </c>
      <c r="C9" s="50" t="s">
        <v>109</v>
      </c>
      <c r="D9" s="59">
        <v>302878.52</v>
      </c>
      <c r="E9" s="59">
        <v>302878.52</v>
      </c>
    </row>
    <row r="10" spans="1:5" ht="16.5" customHeight="1">
      <c r="A10" s="62"/>
      <c r="B10" s="35" t="s">
        <v>110</v>
      </c>
      <c r="C10" s="50" t="s">
        <v>109</v>
      </c>
      <c r="D10" s="59">
        <v>167100.82</v>
      </c>
      <c r="E10" s="59">
        <v>167100.82</v>
      </c>
    </row>
    <row r="11" spans="1:5" ht="15.75">
      <c r="A11" s="62"/>
      <c r="B11" s="57" t="s">
        <v>111</v>
      </c>
      <c r="C11" s="58" t="s">
        <v>109</v>
      </c>
      <c r="D11" s="63">
        <f>D9-D10</f>
        <v>135777.7</v>
      </c>
      <c r="E11" s="63">
        <f>E9-E10</f>
        <v>135777.7</v>
      </c>
    </row>
    <row r="12" spans="1:5" ht="18" customHeight="1">
      <c r="A12" s="61" t="s">
        <v>112</v>
      </c>
      <c r="B12" s="57" t="s">
        <v>113</v>
      </c>
      <c r="C12" s="50"/>
      <c r="D12" s="59"/>
      <c r="E12" s="59"/>
    </row>
    <row r="13" spans="1:5" ht="15.75">
      <c r="A13" s="62"/>
      <c r="B13" s="35" t="s">
        <v>108</v>
      </c>
      <c r="C13" s="50" t="s">
        <v>109</v>
      </c>
      <c r="D13" s="59">
        <v>17264.33</v>
      </c>
      <c r="E13" s="59"/>
    </row>
    <row r="14" spans="1:5" ht="15.75" customHeight="1">
      <c r="A14" s="62"/>
      <c r="B14" s="35" t="s">
        <v>110</v>
      </c>
      <c r="C14" s="50" t="s">
        <v>109</v>
      </c>
      <c r="D14" s="59">
        <v>10827.21</v>
      </c>
      <c r="E14" s="59"/>
    </row>
    <row r="15" spans="1:5" ht="15.75" customHeight="1">
      <c r="A15" s="62"/>
      <c r="B15" s="57" t="s">
        <v>111</v>
      </c>
      <c r="C15" s="58" t="s">
        <v>109</v>
      </c>
      <c r="D15" s="63">
        <f>D13-D14</f>
        <v>6437.120000000003</v>
      </c>
      <c r="E15" s="63">
        <f>E13-E14</f>
        <v>0</v>
      </c>
    </row>
    <row r="16" spans="1:5" ht="15.75" customHeight="1">
      <c r="A16" s="61" t="s">
        <v>114</v>
      </c>
      <c r="B16" s="57" t="s">
        <v>115</v>
      </c>
      <c r="C16" s="50"/>
      <c r="D16" s="59"/>
      <c r="E16" s="59"/>
    </row>
    <row r="17" spans="1:5" ht="15.75" customHeight="1">
      <c r="A17" s="62"/>
      <c r="B17" s="35" t="s">
        <v>108</v>
      </c>
      <c r="C17" s="50" t="s">
        <v>109</v>
      </c>
      <c r="D17" s="59">
        <v>1714.57</v>
      </c>
      <c r="E17" s="59">
        <v>1714.57</v>
      </c>
    </row>
    <row r="18" spans="1:5" ht="15.75" customHeight="1">
      <c r="A18" s="62"/>
      <c r="B18" s="35" t="s">
        <v>110</v>
      </c>
      <c r="C18" s="50" t="s">
        <v>109</v>
      </c>
      <c r="D18" s="59">
        <v>0</v>
      </c>
      <c r="E18" s="59">
        <v>0</v>
      </c>
    </row>
    <row r="19" spans="1:5" ht="15.75" customHeight="1">
      <c r="A19" s="62"/>
      <c r="B19" s="57" t="s">
        <v>111</v>
      </c>
      <c r="C19" s="58" t="s">
        <v>109</v>
      </c>
      <c r="D19" s="63">
        <f>D17-D18</f>
        <v>1714.57</v>
      </c>
      <c r="E19" s="63">
        <f>E17-E18</f>
        <v>1714.57</v>
      </c>
    </row>
    <row r="20" spans="1:5" ht="15" customHeight="1">
      <c r="A20" s="62"/>
      <c r="B20" s="57" t="s">
        <v>116</v>
      </c>
      <c r="C20" s="50" t="s">
        <v>109</v>
      </c>
      <c r="D20" s="63">
        <f>D9+D13+D17</f>
        <v>321857.42000000004</v>
      </c>
      <c r="E20" s="63">
        <f>E9+E13+E17</f>
        <v>304593.09</v>
      </c>
    </row>
    <row r="21" spans="1:5" ht="15.75">
      <c r="A21" s="62"/>
      <c r="B21" s="57" t="s">
        <v>117</v>
      </c>
      <c r="C21" s="50" t="s">
        <v>109</v>
      </c>
      <c r="D21" s="63">
        <f>D11+D15+D19</f>
        <v>143929.39</v>
      </c>
      <c r="E21" s="63">
        <f>E11+E15+E19</f>
        <v>137492.27000000002</v>
      </c>
    </row>
    <row r="22" spans="1:5" ht="15.75" customHeight="1">
      <c r="A22" s="56" t="s">
        <v>118</v>
      </c>
      <c r="B22" s="64" t="s">
        <v>119</v>
      </c>
      <c r="C22" s="50"/>
      <c r="D22" s="59"/>
      <c r="E22" s="59"/>
    </row>
    <row r="23" spans="1:5" ht="94.5">
      <c r="A23" s="65" t="s">
        <v>120</v>
      </c>
      <c r="B23" s="66" t="s">
        <v>121</v>
      </c>
      <c r="C23" s="58" t="s">
        <v>109</v>
      </c>
      <c r="D23" s="63">
        <f>D9*0.11</f>
        <v>33316.637200000005</v>
      </c>
      <c r="E23" s="63">
        <f>E9*0.11</f>
        <v>33316.637200000005</v>
      </c>
    </row>
    <row r="24" spans="1:6" ht="94.5" customHeight="1">
      <c r="A24" s="65" t="s">
        <v>122</v>
      </c>
      <c r="B24" s="66" t="s">
        <v>123</v>
      </c>
      <c r="C24" s="58" t="s">
        <v>109</v>
      </c>
      <c r="D24" s="63">
        <f>D9*0.7</f>
        <v>212014.964</v>
      </c>
      <c r="E24" s="63">
        <f>E9*0.7</f>
        <v>212014.964</v>
      </c>
      <c r="F24" t="s">
        <v>80</v>
      </c>
    </row>
    <row r="25" spans="1:5" ht="19.5" customHeight="1">
      <c r="A25" s="65" t="s">
        <v>124</v>
      </c>
      <c r="B25" s="57" t="s">
        <v>125</v>
      </c>
      <c r="C25" s="58" t="s">
        <v>109</v>
      </c>
      <c r="D25" s="67">
        <v>0</v>
      </c>
      <c r="E25" s="67">
        <v>0</v>
      </c>
    </row>
    <row r="26" spans="1:5" ht="15.75" hidden="1">
      <c r="A26" s="68" t="s">
        <v>126</v>
      </c>
      <c r="B26" s="57" t="s">
        <v>127</v>
      </c>
      <c r="C26" s="58"/>
      <c r="D26" s="67">
        <v>0</v>
      </c>
      <c r="E26" s="67">
        <v>0</v>
      </c>
    </row>
    <row r="27" spans="1:5" ht="17.25" customHeight="1">
      <c r="A27" s="62"/>
      <c r="B27" s="57" t="s">
        <v>128</v>
      </c>
      <c r="C27" s="58" t="s">
        <v>109</v>
      </c>
      <c r="D27" s="63">
        <f>D23+D24+D25+D26</f>
        <v>245331.6012</v>
      </c>
      <c r="E27" s="63">
        <f>E23+E24+E25+E26</f>
        <v>245331.6012</v>
      </c>
    </row>
    <row r="28" spans="1:5" ht="17.25" customHeight="1">
      <c r="A28" s="61" t="s">
        <v>61</v>
      </c>
      <c r="B28" s="57" t="s">
        <v>129</v>
      </c>
      <c r="C28" s="50" t="s">
        <v>109</v>
      </c>
      <c r="D28" s="59">
        <f>D20-D27</f>
        <v>76525.81880000004</v>
      </c>
      <c r="E28" s="59">
        <f>E20-E27</f>
        <v>59261.48880000002</v>
      </c>
    </row>
    <row r="29" spans="1:5" ht="31.5">
      <c r="A29" s="65" t="s">
        <v>130</v>
      </c>
      <c r="B29" s="66" t="s">
        <v>131</v>
      </c>
      <c r="C29" s="50" t="s">
        <v>109</v>
      </c>
      <c r="D29" s="59">
        <f>D28-D21</f>
        <v>-67403.57119999998</v>
      </c>
      <c r="E29" s="59">
        <f>E28-E21</f>
        <v>-78230.7812</v>
      </c>
    </row>
    <row r="30" spans="1:4" ht="15.75">
      <c r="A30" s="69"/>
      <c r="B30" s="70"/>
      <c r="C30" s="71"/>
      <c r="D30" s="72"/>
    </row>
    <row r="31" spans="2:4" ht="15.75">
      <c r="B31" s="43" t="s">
        <v>78</v>
      </c>
      <c r="C31" s="43"/>
      <c r="D31" s="43"/>
    </row>
    <row r="32" spans="2:4" ht="15.75">
      <c r="B32" s="43" t="s">
        <v>80</v>
      </c>
      <c r="C32" s="43"/>
      <c r="D32" s="43"/>
    </row>
    <row r="33" spans="2:4" ht="15.75">
      <c r="B33" s="44" t="s">
        <v>79</v>
      </c>
      <c r="C33" s="44"/>
      <c r="D33" s="44" t="s">
        <v>80</v>
      </c>
    </row>
    <row r="34" spans="2:4" ht="15.75">
      <c r="B34" s="205" t="s">
        <v>132</v>
      </c>
      <c r="C34" s="205"/>
      <c r="D34" s="44"/>
    </row>
    <row r="35" spans="2:4" ht="17.25" customHeight="1">
      <c r="B35" s="206" t="s">
        <v>133</v>
      </c>
      <c r="C35" s="206"/>
      <c r="D35" s="206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D1">
      <selection activeCell="S7" sqref="S7"/>
    </sheetView>
  </sheetViews>
  <sheetFormatPr defaultColWidth="9.00390625" defaultRowHeight="15.75"/>
  <cols>
    <col min="1" max="1" width="12.125" style="204" bestFit="1" customWidth="1"/>
    <col min="2" max="2" width="10.75390625" style="204" customWidth="1"/>
    <col min="3" max="3" width="12.625" style="204" bestFit="1" customWidth="1"/>
    <col min="4" max="4" width="9.875" style="204" bestFit="1" customWidth="1"/>
    <col min="5" max="6" width="12.625" style="204" bestFit="1" customWidth="1"/>
    <col min="7" max="7" width="9.875" style="204" bestFit="1" customWidth="1"/>
    <col min="8" max="8" width="12.625" style="204" bestFit="1" customWidth="1"/>
    <col min="9" max="9" width="11.625" style="204" customWidth="1"/>
    <col min="10" max="10" width="7.125" style="204" bestFit="1" customWidth="1"/>
    <col min="11" max="11" width="9.00390625" style="204" customWidth="1"/>
    <col min="12" max="12" width="11.875" style="204" bestFit="1" customWidth="1"/>
    <col min="13" max="13" width="12.625" style="204" bestFit="1" customWidth="1"/>
    <col min="14" max="14" width="9.875" style="204" bestFit="1" customWidth="1"/>
    <col min="15" max="15" width="11.375" style="204" bestFit="1" customWidth="1"/>
    <col min="16" max="16" width="11.00390625" style="204" bestFit="1" customWidth="1"/>
    <col min="17" max="17" width="8.50390625" style="204" bestFit="1" customWidth="1"/>
    <col min="18" max="18" width="12.625" style="204" bestFit="1" customWidth="1"/>
    <col min="19" max="19" width="12.875" style="204" customWidth="1"/>
    <col min="20" max="16384" width="9.00390625" style="204" customWidth="1"/>
  </cols>
  <sheetData>
    <row r="1" spans="1:19" ht="109.5" customHeight="1" thickBot="1">
      <c r="A1" s="309" t="s">
        <v>260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</row>
    <row r="2" spans="1:19" ht="15.75" customHeight="1">
      <c r="A2" s="310" t="s">
        <v>166</v>
      </c>
      <c r="B2" s="312" t="s">
        <v>167</v>
      </c>
      <c r="C2" s="312" t="s">
        <v>168</v>
      </c>
      <c r="D2" s="312"/>
      <c r="E2" s="312"/>
      <c r="F2" s="312"/>
      <c r="G2" s="312"/>
      <c r="H2" s="312"/>
      <c r="I2" s="312"/>
      <c r="J2" s="313" t="s">
        <v>169</v>
      </c>
      <c r="K2" s="313"/>
      <c r="L2" s="313"/>
      <c r="M2" s="314" t="s">
        <v>170</v>
      </c>
      <c r="N2" s="312" t="s">
        <v>171</v>
      </c>
      <c r="O2" s="312"/>
      <c r="P2" s="312"/>
      <c r="Q2" s="312"/>
      <c r="R2" s="312"/>
      <c r="S2" s="316" t="s">
        <v>202</v>
      </c>
    </row>
    <row r="3" spans="1:19" ht="15.75">
      <c r="A3" s="311"/>
      <c r="B3" s="303"/>
      <c r="C3" s="318" t="s">
        <v>172</v>
      </c>
      <c r="D3" s="319"/>
      <c r="E3" s="320"/>
      <c r="F3" s="318" t="s">
        <v>173</v>
      </c>
      <c r="G3" s="319"/>
      <c r="H3" s="320"/>
      <c r="I3" s="304" t="s">
        <v>174</v>
      </c>
      <c r="J3" s="305" t="s">
        <v>175</v>
      </c>
      <c r="K3" s="307" t="s">
        <v>176</v>
      </c>
      <c r="L3" s="305" t="s">
        <v>177</v>
      </c>
      <c r="M3" s="315"/>
      <c r="N3" s="304" t="s">
        <v>178</v>
      </c>
      <c r="O3" s="303" t="s">
        <v>179</v>
      </c>
      <c r="P3" s="303" t="s">
        <v>180</v>
      </c>
      <c r="Q3" s="303" t="s">
        <v>181</v>
      </c>
      <c r="R3" s="303" t="s">
        <v>182</v>
      </c>
      <c r="S3" s="317"/>
    </row>
    <row r="4" spans="1:19" ht="47.25" customHeight="1">
      <c r="A4" s="311"/>
      <c r="B4" s="303"/>
      <c r="C4" s="209" t="s">
        <v>183</v>
      </c>
      <c r="D4" s="208" t="s">
        <v>181</v>
      </c>
      <c r="E4" s="208" t="s">
        <v>182</v>
      </c>
      <c r="F4" s="209" t="s">
        <v>183</v>
      </c>
      <c r="G4" s="208" t="s">
        <v>181</v>
      </c>
      <c r="H4" s="208" t="s">
        <v>182</v>
      </c>
      <c r="I4" s="304"/>
      <c r="J4" s="306"/>
      <c r="K4" s="308"/>
      <c r="L4" s="306"/>
      <c r="M4" s="308"/>
      <c r="N4" s="303"/>
      <c r="O4" s="303"/>
      <c r="P4" s="303"/>
      <c r="Q4" s="303"/>
      <c r="R4" s="303"/>
      <c r="S4" s="317"/>
    </row>
    <row r="5" spans="1:19" ht="31.5">
      <c r="A5" s="207">
        <v>1</v>
      </c>
      <c r="B5" s="208">
        <v>2</v>
      </c>
      <c r="C5" s="209">
        <v>3</v>
      </c>
      <c r="D5" s="208">
        <v>4</v>
      </c>
      <c r="E5" s="208" t="s">
        <v>184</v>
      </c>
      <c r="F5" s="209">
        <v>6</v>
      </c>
      <c r="G5" s="208">
        <v>7</v>
      </c>
      <c r="H5" s="208" t="s">
        <v>185</v>
      </c>
      <c r="I5" s="209" t="s">
        <v>186</v>
      </c>
      <c r="J5" s="208">
        <v>10</v>
      </c>
      <c r="K5" s="208">
        <v>11</v>
      </c>
      <c r="L5" s="209">
        <v>12</v>
      </c>
      <c r="M5" s="209" t="s">
        <v>187</v>
      </c>
      <c r="N5" s="208">
        <v>14</v>
      </c>
      <c r="O5" s="209">
        <v>15</v>
      </c>
      <c r="P5" s="208">
        <v>16</v>
      </c>
      <c r="Q5" s="208">
        <v>17</v>
      </c>
      <c r="R5" s="209" t="s">
        <v>188</v>
      </c>
      <c r="S5" s="210" t="s">
        <v>189</v>
      </c>
    </row>
    <row r="6" spans="1:19" ht="15.75">
      <c r="A6" s="211">
        <v>-425921.42</v>
      </c>
      <c r="B6" s="212" t="s">
        <v>261</v>
      </c>
      <c r="C6" s="213">
        <v>584543.33</v>
      </c>
      <c r="D6" s="213">
        <v>0</v>
      </c>
      <c r="E6" s="213">
        <f>C6+D6</f>
        <v>584543.33</v>
      </c>
      <c r="F6" s="213">
        <f>'отчет12(07-12)'!H10</f>
        <v>573154.51</v>
      </c>
      <c r="G6" s="213">
        <f>'отчет12(07-12)'!H11</f>
        <v>713.3</v>
      </c>
      <c r="H6" s="213">
        <f>SUM(F6:G6)</f>
        <v>573867.81</v>
      </c>
      <c r="I6" s="214">
        <f>E6-H6</f>
        <v>10675.519999999902</v>
      </c>
      <c r="J6" s="213">
        <v>0</v>
      </c>
      <c r="K6" s="213">
        <v>0</v>
      </c>
      <c r="L6" s="213">
        <v>0</v>
      </c>
      <c r="M6" s="213">
        <f>H6+J6+K6+L6</f>
        <v>573867.81</v>
      </c>
      <c r="N6" s="213">
        <f>'отчет12(07-12)'!J29</f>
        <v>61829.46</v>
      </c>
      <c r="O6" s="213">
        <f>'отчет12(07-12)'!J31-'отчет12(07-12)'!J29</f>
        <v>446386.48</v>
      </c>
      <c r="P6" s="213">
        <f>'отчет12(07-12)'!H35</f>
        <v>551715.75</v>
      </c>
      <c r="Q6" s="214">
        <f>'отчет12(07-12)'!H37</f>
        <v>0</v>
      </c>
      <c r="R6" s="213">
        <f>SUM(N6:Q6)</f>
        <v>1059931.69</v>
      </c>
      <c r="S6" s="215">
        <f>M6-R6</f>
        <v>-486063.8799999999</v>
      </c>
    </row>
    <row r="7" spans="1:19" ht="15.75">
      <c r="A7" s="211"/>
      <c r="B7" s="212"/>
      <c r="C7" s="213"/>
      <c r="D7" s="213"/>
      <c r="E7" s="213">
        <f>SUM(C7:D7)</f>
        <v>0</v>
      </c>
      <c r="F7" s="213"/>
      <c r="G7" s="213"/>
      <c r="H7" s="213">
        <f>SUM(F7:G7)</f>
        <v>0</v>
      </c>
      <c r="I7" s="214">
        <f>E7-H7</f>
        <v>0</v>
      </c>
      <c r="J7" s="213">
        <v>0</v>
      </c>
      <c r="K7" s="213">
        <v>0</v>
      </c>
      <c r="L7" s="213">
        <v>0</v>
      </c>
      <c r="M7" s="213">
        <f>H7+J7+K7+L7</f>
        <v>0</v>
      </c>
      <c r="N7" s="213"/>
      <c r="O7" s="213"/>
      <c r="P7" s="213"/>
      <c r="Q7" s="214">
        <v>0</v>
      </c>
      <c r="R7" s="213">
        <f>SUM(N7:Q7)</f>
        <v>0</v>
      </c>
      <c r="S7" s="215">
        <f>M7-R7</f>
        <v>0</v>
      </c>
    </row>
    <row r="8" spans="1:19" ht="15.75">
      <c r="A8" s="211"/>
      <c r="B8" s="212"/>
      <c r="C8" s="213"/>
      <c r="D8" s="213"/>
      <c r="E8" s="213">
        <f>SUM(C8:D8)</f>
        <v>0</v>
      </c>
      <c r="F8" s="213"/>
      <c r="G8" s="213"/>
      <c r="H8" s="213">
        <f>SUM(F8:G8)</f>
        <v>0</v>
      </c>
      <c r="I8" s="214">
        <f>E8-H8</f>
        <v>0</v>
      </c>
      <c r="J8" s="213">
        <v>0</v>
      </c>
      <c r="K8" s="213">
        <v>0</v>
      </c>
      <c r="L8" s="213">
        <v>0</v>
      </c>
      <c r="M8" s="213">
        <f>H8+J8+K8+L8</f>
        <v>0</v>
      </c>
      <c r="N8" s="213"/>
      <c r="O8" s="213"/>
      <c r="P8" s="213"/>
      <c r="Q8" s="214">
        <v>0</v>
      </c>
      <c r="R8" s="213">
        <f>SUM(N8:Q8)</f>
        <v>0</v>
      </c>
      <c r="S8" s="215">
        <f>M8-R8</f>
        <v>0</v>
      </c>
    </row>
    <row r="9" spans="1:19" ht="15.75">
      <c r="A9" s="211"/>
      <c r="B9" s="212"/>
      <c r="C9" s="213"/>
      <c r="D9" s="213"/>
      <c r="E9" s="213">
        <f>SUM(C9:D9)</f>
        <v>0</v>
      </c>
      <c r="F9" s="213"/>
      <c r="G9" s="213"/>
      <c r="H9" s="213">
        <f>SUM(F9:G9)</f>
        <v>0</v>
      </c>
      <c r="I9" s="214">
        <f>E9-H9</f>
        <v>0</v>
      </c>
      <c r="J9" s="213">
        <f>'[1]отчет 2011'!I12</f>
        <v>0</v>
      </c>
      <c r="K9" s="213">
        <f>'[1]отчет 2011'!I13</f>
        <v>0</v>
      </c>
      <c r="L9" s="213">
        <f>'[1]отчет 2011'!H13</f>
        <v>0</v>
      </c>
      <c r="M9" s="213">
        <f>H9+J9+K9+L9</f>
        <v>0</v>
      </c>
      <c r="N9" s="213"/>
      <c r="O9" s="213"/>
      <c r="P9" s="213"/>
      <c r="Q9" s="214">
        <v>0</v>
      </c>
      <c r="R9" s="213">
        <f>SUM(N9:Q9)</f>
        <v>0</v>
      </c>
      <c r="S9" s="215">
        <f>M9-R9</f>
        <v>0</v>
      </c>
    </row>
    <row r="10" spans="1:19" ht="15.75">
      <c r="A10" s="211"/>
      <c r="B10" s="212"/>
      <c r="C10" s="213"/>
      <c r="D10" s="213"/>
      <c r="E10" s="213">
        <f>SUM(C10:D10)</f>
        <v>0</v>
      </c>
      <c r="F10" s="213"/>
      <c r="G10" s="213"/>
      <c r="H10" s="213">
        <f>SUM(F10:G10)</f>
        <v>0</v>
      </c>
      <c r="I10" s="214">
        <f>E10-H10</f>
        <v>0</v>
      </c>
      <c r="J10" s="213">
        <v>0</v>
      </c>
      <c r="K10" s="213">
        <v>0</v>
      </c>
      <c r="L10" s="213">
        <v>0</v>
      </c>
      <c r="M10" s="213">
        <f>H10+J10+K10+L10</f>
        <v>0</v>
      </c>
      <c r="N10" s="213"/>
      <c r="O10" s="213"/>
      <c r="P10" s="213"/>
      <c r="Q10" s="214">
        <v>0</v>
      </c>
      <c r="R10" s="213">
        <f>SUM(N10:Q10)</f>
        <v>0</v>
      </c>
      <c r="S10" s="215">
        <f>M10-R10</f>
        <v>0</v>
      </c>
    </row>
    <row r="11" spans="1:19" ht="16.5" thickBot="1">
      <c r="A11" s="216"/>
      <c r="B11" s="217" t="s">
        <v>200</v>
      </c>
      <c r="C11" s="218">
        <f aca="true" t="shared" si="0" ref="C11:R11">SUM(C6:C10)</f>
        <v>584543.33</v>
      </c>
      <c r="D11" s="218">
        <f t="shared" si="0"/>
        <v>0</v>
      </c>
      <c r="E11" s="218">
        <f t="shared" si="0"/>
        <v>584543.33</v>
      </c>
      <c r="F11" s="218">
        <f t="shared" si="0"/>
        <v>573154.51</v>
      </c>
      <c r="G11" s="218">
        <f t="shared" si="0"/>
        <v>713.3</v>
      </c>
      <c r="H11" s="218">
        <f t="shared" si="0"/>
        <v>573867.81</v>
      </c>
      <c r="I11" s="218">
        <f t="shared" si="0"/>
        <v>10675.519999999902</v>
      </c>
      <c r="J11" s="218">
        <f t="shared" si="0"/>
        <v>0</v>
      </c>
      <c r="K11" s="218">
        <f t="shared" si="0"/>
        <v>0</v>
      </c>
      <c r="L11" s="218">
        <f t="shared" si="0"/>
        <v>0</v>
      </c>
      <c r="M11" s="218">
        <f t="shared" si="0"/>
        <v>573867.81</v>
      </c>
      <c r="N11" s="218">
        <f t="shared" si="0"/>
        <v>61829.46</v>
      </c>
      <c r="O11" s="218">
        <f t="shared" si="0"/>
        <v>446386.48</v>
      </c>
      <c r="P11" s="218">
        <f t="shared" si="0"/>
        <v>551715.75</v>
      </c>
      <c r="Q11" s="218">
        <f t="shared" si="0"/>
        <v>0</v>
      </c>
      <c r="R11" s="218">
        <f t="shared" si="0"/>
        <v>1059931.69</v>
      </c>
      <c r="S11" s="219">
        <f>A6+SUM(S6:S10)</f>
        <v>-911985.2999999998</v>
      </c>
    </row>
    <row r="14" spans="15:19" ht="16.5">
      <c r="O14" s="220"/>
      <c r="P14" s="220"/>
      <c r="Q14" s="220"/>
      <c r="R14" s="220"/>
      <c r="S14" s="221"/>
    </row>
    <row r="15" spans="15:19" ht="16.5">
      <c r="O15" s="220"/>
      <c r="P15" s="220"/>
      <c r="Q15" s="220"/>
      <c r="R15" s="220"/>
      <c r="S15" s="220"/>
    </row>
    <row r="16" spans="2:9" s="222" customFormat="1" ht="18.75">
      <c r="B16" s="302" t="s">
        <v>256</v>
      </c>
      <c r="C16" s="302"/>
      <c r="D16" s="302"/>
      <c r="E16" s="302"/>
      <c r="F16" s="302" t="s">
        <v>257</v>
      </c>
      <c r="G16" s="302"/>
      <c r="H16" s="302"/>
      <c r="I16" s="302"/>
    </row>
    <row r="17" s="222" customFormat="1" ht="18.75"/>
    <row r="19" spans="2:8" ht="29.25" customHeight="1">
      <c r="B19" s="223" t="s">
        <v>258</v>
      </c>
      <c r="F19" s="302" t="s">
        <v>259</v>
      </c>
      <c r="G19" s="302"/>
      <c r="H19" s="302"/>
    </row>
    <row r="21" ht="15.75">
      <c r="A21" s="204" t="s">
        <v>246</v>
      </c>
    </row>
  </sheetData>
  <sheetProtection/>
  <mergeCells count="22">
    <mergeCell ref="C3:E3"/>
    <mergeCell ref="F3:H3"/>
    <mergeCell ref="K3:K4"/>
    <mergeCell ref="L3:L4"/>
    <mergeCell ref="A1:S1"/>
    <mergeCell ref="A2:A4"/>
    <mergeCell ref="B2:B4"/>
    <mergeCell ref="C2:I2"/>
    <mergeCell ref="J2:L2"/>
    <mergeCell ref="M2:M4"/>
    <mergeCell ref="N2:R2"/>
    <mergeCell ref="S2:S4"/>
    <mergeCell ref="B16:E16"/>
    <mergeCell ref="F16:I16"/>
    <mergeCell ref="F19:H19"/>
    <mergeCell ref="R3:R4"/>
    <mergeCell ref="N3:N4"/>
    <mergeCell ref="O3:O4"/>
    <mergeCell ref="P3:P4"/>
    <mergeCell ref="Q3:Q4"/>
    <mergeCell ref="I3:I4"/>
    <mergeCell ref="J3:J4"/>
  </mergeCells>
  <printOptions/>
  <pageMargins left="0" right="0" top="0" bottom="0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F3" sqref="F3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2.625" style="0" customWidth="1"/>
    <col min="9" max="9" width="9.875" style="0" bestFit="1" customWidth="1"/>
  </cols>
  <sheetData>
    <row r="1" spans="1:8" ht="121.5" customHeight="1">
      <c r="A1" s="224" t="s">
        <v>83</v>
      </c>
      <c r="B1" s="224"/>
      <c r="C1" s="224"/>
      <c r="D1" s="224"/>
      <c r="E1" s="224"/>
      <c r="F1" s="224"/>
      <c r="G1" s="224"/>
      <c r="H1" s="224"/>
    </row>
    <row r="2" spans="1:8" ht="78" customHeight="1">
      <c r="A2" s="193" t="s">
        <v>86</v>
      </c>
      <c r="B2" s="193"/>
      <c r="C2" s="193"/>
      <c r="D2" s="193"/>
      <c r="E2" s="193"/>
      <c r="F2" s="193"/>
      <c r="G2" s="193"/>
      <c r="H2" s="193"/>
    </row>
    <row r="3" spans="1:6" ht="18.75">
      <c r="A3" s="1" t="s">
        <v>77</v>
      </c>
      <c r="B3" s="1" t="s">
        <v>84</v>
      </c>
      <c r="C3" s="2"/>
      <c r="D3" s="2" t="s">
        <v>0</v>
      </c>
      <c r="E3" s="4">
        <v>7563</v>
      </c>
      <c r="F3" s="2"/>
    </row>
    <row r="4" spans="2:6" ht="15.75">
      <c r="B4" s="3" t="s">
        <v>1</v>
      </c>
      <c r="C4" s="27">
        <v>9</v>
      </c>
      <c r="D4" s="2" t="s">
        <v>2</v>
      </c>
      <c r="E4" s="4">
        <v>127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85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2" customHeight="1">
      <c r="A7" s="22" t="s">
        <v>60</v>
      </c>
      <c r="B7" s="188"/>
      <c r="C7" s="188"/>
      <c r="D7" s="188"/>
      <c r="E7" s="11" t="s">
        <v>6</v>
      </c>
      <c r="F7" s="11" t="s">
        <v>7</v>
      </c>
      <c r="G7" s="33" t="s">
        <v>22</v>
      </c>
      <c r="H7" s="10" t="s">
        <v>33</v>
      </c>
    </row>
    <row r="8" spans="1:8" ht="15.75">
      <c r="A8" s="23"/>
      <c r="B8" s="189" t="s">
        <v>64</v>
      </c>
      <c r="C8" s="190"/>
      <c r="D8" s="190"/>
      <c r="E8" s="190"/>
      <c r="F8" s="191"/>
      <c r="G8" s="15"/>
      <c r="H8" s="16"/>
    </row>
    <row r="9" spans="1:8" ht="15.75" customHeight="1">
      <c r="A9" s="23"/>
      <c r="B9" s="192" t="s">
        <v>73</v>
      </c>
      <c r="C9" s="192"/>
      <c r="D9" s="192"/>
      <c r="E9" s="192"/>
      <c r="F9" s="192"/>
      <c r="G9" s="15"/>
      <c r="H9" s="32">
        <v>135777.7</v>
      </c>
    </row>
    <row r="10" spans="1:8" ht="15.75">
      <c r="A10" s="23">
        <v>1</v>
      </c>
      <c r="B10" s="182" t="s">
        <v>62</v>
      </c>
      <c r="C10" s="182"/>
      <c r="D10" s="182"/>
      <c r="E10" s="182"/>
      <c r="F10" s="182"/>
      <c r="G10" s="17"/>
      <c r="H10" s="35">
        <v>946799.55</v>
      </c>
    </row>
    <row r="11" spans="1:8" ht="15.75">
      <c r="A11" s="23"/>
      <c r="B11" s="182" t="s">
        <v>75</v>
      </c>
      <c r="C11" s="182"/>
      <c r="D11" s="182"/>
      <c r="E11" s="182"/>
      <c r="F11" s="182"/>
      <c r="G11" s="17"/>
      <c r="H11" s="49">
        <f>H10*0.9</f>
        <v>852119.5950000001</v>
      </c>
    </row>
    <row r="12" spans="1:8" ht="15.75">
      <c r="A12" s="23"/>
      <c r="B12" s="182" t="s">
        <v>76</v>
      </c>
      <c r="C12" s="182"/>
      <c r="D12" s="182"/>
      <c r="E12" s="182"/>
      <c r="F12" s="182"/>
      <c r="G12" s="17"/>
      <c r="H12" s="36">
        <f>H10-H11</f>
        <v>94679.95499999996</v>
      </c>
    </row>
    <row r="13" spans="1:8" ht="15.75">
      <c r="A13" s="23">
        <v>2</v>
      </c>
      <c r="B13" s="182" t="s">
        <v>63</v>
      </c>
      <c r="C13" s="182"/>
      <c r="D13" s="182"/>
      <c r="E13" s="182"/>
      <c r="F13" s="182"/>
      <c r="G13" s="17"/>
      <c r="H13" s="18">
        <v>834596.35</v>
      </c>
    </row>
    <row r="14" spans="1:8" ht="15.75">
      <c r="A14" s="23">
        <v>3</v>
      </c>
      <c r="B14" s="182" t="s">
        <v>67</v>
      </c>
      <c r="C14" s="182"/>
      <c r="D14" s="182"/>
      <c r="E14" s="182"/>
      <c r="F14" s="182"/>
      <c r="G14" s="17"/>
      <c r="H14" s="36">
        <f>H10-H13</f>
        <v>112203.20000000007</v>
      </c>
    </row>
    <row r="15" spans="1:9" ht="15.75">
      <c r="A15" s="23">
        <v>4</v>
      </c>
      <c r="B15" s="192" t="s">
        <v>74</v>
      </c>
      <c r="C15" s="192"/>
      <c r="D15" s="192"/>
      <c r="E15" s="192"/>
      <c r="F15" s="192"/>
      <c r="G15" s="17"/>
      <c r="H15" s="37">
        <f>H9+H10-H13</f>
        <v>247980.90000000002</v>
      </c>
      <c r="I15" s="31"/>
    </row>
    <row r="16" spans="1:8" ht="18.75">
      <c r="A16" s="23">
        <v>5</v>
      </c>
      <c r="B16" s="228" t="s">
        <v>65</v>
      </c>
      <c r="C16" s="228"/>
      <c r="D16" s="228"/>
      <c r="E16" s="228"/>
      <c r="F16" s="228"/>
      <c r="G16" s="17"/>
      <c r="H16" s="36"/>
    </row>
    <row r="17" spans="1:8" ht="15.75">
      <c r="A17" s="23" t="s">
        <v>39</v>
      </c>
      <c r="B17" s="19" t="s">
        <v>66</v>
      </c>
      <c r="C17" s="19"/>
      <c r="D17" s="19"/>
      <c r="E17" s="19"/>
      <c r="F17" s="5"/>
      <c r="G17" s="20"/>
      <c r="H17" s="38"/>
    </row>
    <row r="18" spans="1:8" ht="31.5">
      <c r="A18" s="26" t="s">
        <v>40</v>
      </c>
      <c r="B18" s="186" t="s">
        <v>18</v>
      </c>
      <c r="C18" s="186"/>
      <c r="D18" s="186"/>
      <c r="E18" s="6" t="s">
        <v>32</v>
      </c>
      <c r="F18" s="6" t="s">
        <v>24</v>
      </c>
      <c r="G18" s="12">
        <v>1.06</v>
      </c>
      <c r="H18" s="39">
        <f>ROUND(G18*$E$3*12,2)</f>
        <v>96201.36</v>
      </c>
    </row>
    <row r="19" spans="1:8" ht="15.75">
      <c r="A19" s="23" t="s">
        <v>41</v>
      </c>
      <c r="B19" s="186" t="s">
        <v>17</v>
      </c>
      <c r="C19" s="186"/>
      <c r="D19" s="186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23596.56</v>
      </c>
    </row>
    <row r="20" spans="1:8" ht="15.75">
      <c r="A20" s="26" t="s">
        <v>42</v>
      </c>
      <c r="B20" s="182" t="s">
        <v>23</v>
      </c>
      <c r="C20" s="182"/>
      <c r="D20" s="182"/>
      <c r="E20" s="7" t="s">
        <v>8</v>
      </c>
      <c r="F20" s="7" t="s">
        <v>20</v>
      </c>
      <c r="G20" s="12">
        <v>0.9</v>
      </c>
      <c r="H20" s="39">
        <f t="shared" si="0"/>
        <v>81680.4</v>
      </c>
    </row>
    <row r="21" spans="1:8" ht="33" customHeight="1">
      <c r="A21" s="23" t="s">
        <v>43</v>
      </c>
      <c r="B21" s="187" t="s">
        <v>31</v>
      </c>
      <c r="C21" s="187"/>
      <c r="D21" s="187"/>
      <c r="E21" s="8" t="s">
        <v>9</v>
      </c>
      <c r="F21" s="8" t="s">
        <v>10</v>
      </c>
      <c r="G21" s="12">
        <v>0.46</v>
      </c>
      <c r="H21" s="39">
        <f t="shared" si="0"/>
        <v>41747.76</v>
      </c>
    </row>
    <row r="22" spans="1:8" ht="63">
      <c r="A22" s="26" t="s">
        <v>46</v>
      </c>
      <c r="B22" s="182" t="s">
        <v>27</v>
      </c>
      <c r="C22" s="182"/>
      <c r="D22" s="182"/>
      <c r="E22" s="7" t="s">
        <v>34</v>
      </c>
      <c r="F22" s="7" t="s">
        <v>25</v>
      </c>
      <c r="G22" s="12">
        <v>0.11</v>
      </c>
      <c r="H22" s="39">
        <f t="shared" si="0"/>
        <v>9983.16</v>
      </c>
    </row>
    <row r="23" spans="1:8" ht="31.5">
      <c r="A23" s="23" t="s">
        <v>44</v>
      </c>
      <c r="B23" s="182" t="s">
        <v>11</v>
      </c>
      <c r="C23" s="182"/>
      <c r="D23" s="182"/>
      <c r="E23" s="7" t="s">
        <v>9</v>
      </c>
      <c r="F23" s="7" t="s">
        <v>12</v>
      </c>
      <c r="G23" s="12">
        <v>1.89</v>
      </c>
      <c r="H23" s="39">
        <f t="shared" si="0"/>
        <v>171528.84</v>
      </c>
    </row>
    <row r="24" spans="1:8" ht="15.75">
      <c r="A24" s="26" t="s">
        <v>45</v>
      </c>
      <c r="B24" s="182" t="s">
        <v>26</v>
      </c>
      <c r="C24" s="230"/>
      <c r="D24" s="230"/>
      <c r="E24" s="9" t="s">
        <v>13</v>
      </c>
      <c r="F24" s="9" t="s">
        <v>14</v>
      </c>
      <c r="G24" s="12">
        <v>0.04</v>
      </c>
      <c r="H24" s="39">
        <f t="shared" si="0"/>
        <v>3630.24</v>
      </c>
    </row>
    <row r="25" spans="1:8" ht="36.75" customHeight="1">
      <c r="A25" s="23" t="s">
        <v>47</v>
      </c>
      <c r="B25" s="183" t="s">
        <v>81</v>
      </c>
      <c r="C25" s="184"/>
      <c r="D25" s="185"/>
      <c r="E25" s="9" t="s">
        <v>13</v>
      </c>
      <c r="F25" s="45" t="s">
        <v>82</v>
      </c>
      <c r="G25" s="12">
        <v>0.22</v>
      </c>
      <c r="H25" s="39">
        <f t="shared" si="0"/>
        <v>19966.32</v>
      </c>
    </row>
    <row r="26" spans="1:8" ht="31.5">
      <c r="A26" s="26" t="s">
        <v>48</v>
      </c>
      <c r="B26" s="182" t="s">
        <v>71</v>
      </c>
      <c r="C26" s="182"/>
      <c r="D26" s="182"/>
      <c r="E26" s="6" t="s">
        <v>35</v>
      </c>
      <c r="F26" s="46" t="s">
        <v>82</v>
      </c>
      <c r="G26" s="12">
        <v>2.5</v>
      </c>
      <c r="H26" s="39">
        <f t="shared" si="0"/>
        <v>226890</v>
      </c>
    </row>
    <row r="27" spans="1:8" ht="31.5">
      <c r="A27" s="23" t="s">
        <v>49</v>
      </c>
      <c r="B27" s="186" t="s">
        <v>15</v>
      </c>
      <c r="C27" s="186"/>
      <c r="D27" s="186"/>
      <c r="E27" s="6" t="s">
        <v>35</v>
      </c>
      <c r="F27" s="46" t="s">
        <v>82</v>
      </c>
      <c r="G27" s="12">
        <v>0.46</v>
      </c>
      <c r="H27" s="39">
        <f t="shared" si="0"/>
        <v>41747.76</v>
      </c>
    </row>
    <row r="28" spans="1:8" ht="31.5">
      <c r="A28" s="26" t="s">
        <v>50</v>
      </c>
      <c r="B28" s="237" t="s">
        <v>36</v>
      </c>
      <c r="C28" s="238"/>
      <c r="D28" s="238"/>
      <c r="E28" s="6" t="s">
        <v>35</v>
      </c>
      <c r="F28" s="46" t="s">
        <v>82</v>
      </c>
      <c r="G28" s="48">
        <f>2.14-G29-G30</f>
        <v>1.8900000000000001</v>
      </c>
      <c r="H28" s="39">
        <f t="shared" si="0"/>
        <v>171528.84</v>
      </c>
    </row>
    <row r="29" spans="1:8" ht="31.5">
      <c r="A29" s="23" t="s">
        <v>51</v>
      </c>
      <c r="B29" s="182" t="s">
        <v>28</v>
      </c>
      <c r="C29" s="182"/>
      <c r="D29" s="182"/>
      <c r="E29" s="6" t="s">
        <v>35</v>
      </c>
      <c r="F29" s="46" t="s">
        <v>82</v>
      </c>
      <c r="G29" s="13">
        <v>0.25</v>
      </c>
      <c r="H29" s="39">
        <f t="shared" si="0"/>
        <v>22689</v>
      </c>
    </row>
    <row r="30" spans="1:8" ht="31.5">
      <c r="A30" s="26" t="s">
        <v>52</v>
      </c>
      <c r="B30" s="182" t="s">
        <v>29</v>
      </c>
      <c r="C30" s="182"/>
      <c r="D30" s="182"/>
      <c r="E30" s="6" t="s">
        <v>35</v>
      </c>
      <c r="F30" s="46" t="s">
        <v>82</v>
      </c>
      <c r="G30" s="13">
        <v>0</v>
      </c>
      <c r="H30" s="39">
        <f t="shared" si="0"/>
        <v>0</v>
      </c>
    </row>
    <row r="31" spans="1:8" ht="31.5">
      <c r="A31" s="23" t="s">
        <v>53</v>
      </c>
      <c r="B31" s="230" t="s">
        <v>21</v>
      </c>
      <c r="C31" s="230"/>
      <c r="D31" s="230"/>
      <c r="E31" s="6" t="s">
        <v>35</v>
      </c>
      <c r="F31" s="46" t="s">
        <v>82</v>
      </c>
      <c r="G31" s="9">
        <v>1.26</v>
      </c>
      <c r="H31" s="39">
        <f t="shared" si="0"/>
        <v>114352.56</v>
      </c>
    </row>
    <row r="32" spans="1:8" ht="15.75">
      <c r="A32" s="23" t="s">
        <v>54</v>
      </c>
      <c r="B32" s="229" t="s">
        <v>30</v>
      </c>
      <c r="C32" s="229"/>
      <c r="D32" s="229"/>
      <c r="E32" s="14"/>
      <c r="F32" s="46"/>
      <c r="G32" s="21">
        <f>SUM(G18:G31)</f>
        <v>11.299999999999999</v>
      </c>
      <c r="H32" s="40">
        <f>SUM(H18:H31)</f>
        <v>1025542.8</v>
      </c>
    </row>
    <row r="33" spans="1:8" ht="15.75">
      <c r="A33" s="23" t="s">
        <v>55</v>
      </c>
      <c r="B33" s="192" t="s">
        <v>37</v>
      </c>
      <c r="C33" s="230"/>
      <c r="D33" s="230"/>
      <c r="E33" s="14"/>
      <c r="F33" s="46" t="s">
        <v>82</v>
      </c>
      <c r="G33" s="24">
        <f>H33/E3/12</f>
        <v>0.003305566574110803</v>
      </c>
      <c r="H33" s="28">
        <v>300</v>
      </c>
    </row>
    <row r="34" spans="1:8" ht="18.75">
      <c r="A34" s="25" t="s">
        <v>56</v>
      </c>
      <c r="B34" s="239" t="s">
        <v>69</v>
      </c>
      <c r="C34" s="239"/>
      <c r="D34" s="239"/>
      <c r="E34" s="239"/>
      <c r="F34" s="239"/>
      <c r="G34" s="5">
        <f>SUM(G32:G33)</f>
        <v>11.30330556657411</v>
      </c>
      <c r="H34" s="41">
        <f>SUM(H32:H33)</f>
        <v>1025842.8</v>
      </c>
    </row>
    <row r="35" spans="1:8" ht="18.75">
      <c r="A35" s="23" t="s">
        <v>61</v>
      </c>
      <c r="B35" s="234" t="s">
        <v>38</v>
      </c>
      <c r="C35" s="235"/>
      <c r="D35" s="235"/>
      <c r="E35" s="235"/>
      <c r="F35" s="235"/>
      <c r="G35" s="236"/>
      <c r="H35" s="29"/>
    </row>
    <row r="36" spans="1:8" ht="15.75" customHeight="1">
      <c r="A36" s="23" t="s">
        <v>57</v>
      </c>
      <c r="B36" s="231" t="s">
        <v>68</v>
      </c>
      <c r="C36" s="232"/>
      <c r="D36" s="232"/>
      <c r="E36" s="232"/>
      <c r="F36" s="232"/>
      <c r="G36" s="233"/>
      <c r="H36" s="30">
        <v>-78230.78</v>
      </c>
    </row>
    <row r="37" spans="1:8" ht="15.75" customHeight="1">
      <c r="A37" s="23" t="s">
        <v>58</v>
      </c>
      <c r="B37" s="231" t="s">
        <v>72</v>
      </c>
      <c r="C37" s="232"/>
      <c r="D37" s="232"/>
      <c r="E37" s="232"/>
      <c r="F37" s="232"/>
      <c r="G37" s="233"/>
      <c r="H37" s="42">
        <f>H13-H34</f>
        <v>-191246.45000000007</v>
      </c>
    </row>
    <row r="38" spans="1:8" ht="15.75" customHeight="1">
      <c r="A38" s="23" t="s">
        <v>59</v>
      </c>
      <c r="B38" s="231" t="s">
        <v>70</v>
      </c>
      <c r="C38" s="232"/>
      <c r="D38" s="232"/>
      <c r="E38" s="232"/>
      <c r="F38" s="232"/>
      <c r="G38" s="233"/>
      <c r="H38" s="42">
        <f>H36+H37</f>
        <v>-269477.2300000001</v>
      </c>
    </row>
    <row r="39" spans="2:6" ht="28.5" customHeight="1">
      <c r="B39" s="34"/>
      <c r="F39" s="34"/>
    </row>
    <row r="40" spans="2:6" ht="15.75">
      <c r="B40" s="43" t="s">
        <v>78</v>
      </c>
      <c r="C40" s="43"/>
      <c r="D40" s="43"/>
      <c r="E40" s="34"/>
      <c r="F40" s="34"/>
    </row>
    <row r="41" spans="2:4" ht="15.75">
      <c r="B41" s="43"/>
      <c r="C41" s="43"/>
      <c r="D41" s="43"/>
    </row>
    <row r="42" spans="2:4" ht="15.75">
      <c r="B42" s="44" t="s">
        <v>79</v>
      </c>
      <c r="C42" s="44"/>
      <c r="D42" s="44" t="s">
        <v>80</v>
      </c>
    </row>
    <row r="43" spans="2:4" ht="15.75">
      <c r="B43" s="47" t="s">
        <v>88</v>
      </c>
      <c r="C43" s="47"/>
      <c r="D43" s="44"/>
    </row>
    <row r="44" spans="2:4" ht="15.75" customHeight="1">
      <c r="B44" s="206" t="s">
        <v>87</v>
      </c>
      <c r="C44" s="206"/>
      <c r="D44" s="206"/>
    </row>
  </sheetData>
  <sheetProtection/>
  <mergeCells count="34">
    <mergeCell ref="B33:D33"/>
    <mergeCell ref="B34:F34"/>
    <mergeCell ref="B36:G36"/>
    <mergeCell ref="B37:G37"/>
    <mergeCell ref="B44:D44"/>
    <mergeCell ref="B32:D32"/>
    <mergeCell ref="B23:D23"/>
    <mergeCell ref="B24:D24"/>
    <mergeCell ref="B38:G38"/>
    <mergeCell ref="B35:G35"/>
    <mergeCell ref="B31:D31"/>
    <mergeCell ref="B26:D26"/>
    <mergeCell ref="B27:D27"/>
    <mergeCell ref="B28:D28"/>
    <mergeCell ref="B30:D30"/>
    <mergeCell ref="B25:D25"/>
    <mergeCell ref="B18:D18"/>
    <mergeCell ref="B14:F14"/>
    <mergeCell ref="B15:F15"/>
    <mergeCell ref="B21:D21"/>
    <mergeCell ref="B22:D22"/>
    <mergeCell ref="B19:D19"/>
    <mergeCell ref="B20:D20"/>
    <mergeCell ref="B16:F16"/>
    <mergeCell ref="B11:F11"/>
    <mergeCell ref="B12:F12"/>
    <mergeCell ref="B10:F10"/>
    <mergeCell ref="B29:D29"/>
    <mergeCell ref="B13:F13"/>
    <mergeCell ref="A1:H1"/>
    <mergeCell ref="B7:D7"/>
    <mergeCell ref="B8:F8"/>
    <mergeCell ref="B9:F9"/>
    <mergeCell ref="A2:H2"/>
  </mergeCells>
  <printOptions/>
  <pageMargins left="0.54" right="0.31" top="0.5" bottom="0.25" header="0.5" footer="0.27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A16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18.00390625" style="0" hidden="1" customWidth="1"/>
    <col min="7" max="7" width="0.12890625" style="0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24" t="s">
        <v>196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54" customHeight="1">
      <c r="A2" s="260" t="s">
        <v>197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6693.9</v>
      </c>
      <c r="F3" s="2"/>
      <c r="I3" s="87"/>
    </row>
    <row r="4" spans="2:9" ht="15.75">
      <c r="B4" s="3" t="s">
        <v>1</v>
      </c>
      <c r="C4" s="27">
        <v>9</v>
      </c>
      <c r="D4" s="2" t="s">
        <v>2</v>
      </c>
      <c r="E4" s="4">
        <v>127</v>
      </c>
      <c r="F4" s="2"/>
      <c r="I4" t="s">
        <v>101</v>
      </c>
    </row>
    <row r="5" spans="2:9" ht="15.75">
      <c r="B5" s="3" t="s">
        <v>3</v>
      </c>
      <c r="C5" s="4">
        <v>4</v>
      </c>
      <c r="D5" s="2" t="s">
        <v>4</v>
      </c>
      <c r="E5" s="2" t="s">
        <v>85</v>
      </c>
      <c r="F5" s="2"/>
      <c r="G5" s="2"/>
      <c r="I5" s="2" t="s">
        <v>140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141</v>
      </c>
    </row>
    <row r="7" spans="1:10" ht="39" customHeight="1">
      <c r="A7" s="22" t="s">
        <v>60</v>
      </c>
      <c r="B7" s="261" t="s">
        <v>142</v>
      </c>
      <c r="C7" s="262"/>
      <c r="D7" s="263"/>
      <c r="E7" s="11" t="s">
        <v>6</v>
      </c>
      <c r="F7" s="11" t="s">
        <v>7</v>
      </c>
      <c r="G7" s="33" t="s">
        <v>22</v>
      </c>
      <c r="H7" s="264" t="s">
        <v>143</v>
      </c>
      <c r="I7" s="265"/>
      <c r="J7" s="266"/>
    </row>
    <row r="8" spans="1:10" ht="15.75">
      <c r="A8" s="23">
        <v>1</v>
      </c>
      <c r="B8" s="189"/>
      <c r="C8" s="190"/>
      <c r="D8" s="190"/>
      <c r="E8" s="190"/>
      <c r="F8" s="191"/>
      <c r="G8" s="89"/>
      <c r="H8" s="90" t="s">
        <v>144</v>
      </c>
      <c r="I8" s="91" t="s">
        <v>145</v>
      </c>
      <c r="J8" s="91" t="s">
        <v>146</v>
      </c>
    </row>
    <row r="9" spans="1:10" ht="15.75">
      <c r="A9" s="23"/>
      <c r="B9" s="189" t="s">
        <v>147</v>
      </c>
      <c r="C9" s="190"/>
      <c r="D9" s="190"/>
      <c r="E9" s="190"/>
      <c r="F9" s="191"/>
      <c r="G9" s="78"/>
      <c r="H9" s="78"/>
      <c r="I9" s="58"/>
      <c r="J9" s="91"/>
    </row>
    <row r="10" spans="1:10" ht="15.75" customHeight="1">
      <c r="A10" s="92"/>
      <c r="B10" s="259" t="s">
        <v>148</v>
      </c>
      <c r="C10" s="259"/>
      <c r="D10" s="259"/>
      <c r="E10" s="259"/>
      <c r="F10" s="259"/>
      <c r="G10" s="15"/>
      <c r="H10" s="93">
        <v>955203.86</v>
      </c>
      <c r="I10" s="75"/>
      <c r="J10" s="94">
        <f>H10+I10</f>
        <v>955203.86</v>
      </c>
    </row>
    <row r="11" spans="1:10" ht="15.75" customHeight="1">
      <c r="A11" s="92"/>
      <c r="B11" s="259" t="s">
        <v>149</v>
      </c>
      <c r="C11" s="259"/>
      <c r="D11" s="259"/>
      <c r="E11" s="259"/>
      <c r="F11" s="259"/>
      <c r="G11" s="15"/>
      <c r="H11" s="16">
        <v>46713.27</v>
      </c>
      <c r="I11" s="75"/>
      <c r="J11" s="94">
        <f>H11+I11</f>
        <v>46713.27</v>
      </c>
    </row>
    <row r="12" spans="1:10" ht="15.75" customHeight="1">
      <c r="A12" s="23"/>
      <c r="B12" s="259" t="s">
        <v>150</v>
      </c>
      <c r="C12" s="259"/>
      <c r="D12" s="259"/>
      <c r="E12" s="259"/>
      <c r="F12" s="259"/>
      <c r="G12" s="15"/>
      <c r="H12" s="93"/>
      <c r="I12" s="75">
        <v>0</v>
      </c>
      <c r="J12" s="94">
        <f>H12+I12</f>
        <v>0</v>
      </c>
    </row>
    <row r="13" spans="1:10" ht="15.75" customHeight="1">
      <c r="A13" s="23"/>
      <c r="B13" s="259" t="s">
        <v>151</v>
      </c>
      <c r="C13" s="259"/>
      <c r="D13" s="259"/>
      <c r="E13" s="259"/>
      <c r="F13" s="259"/>
      <c r="G13" s="15"/>
      <c r="H13" s="93"/>
      <c r="I13" s="95">
        <v>0</v>
      </c>
      <c r="J13" s="94">
        <f>H13+I13</f>
        <v>0</v>
      </c>
    </row>
    <row r="14" spans="1:10" ht="15.75" customHeight="1">
      <c r="A14" s="23"/>
      <c r="B14" s="192" t="s">
        <v>152</v>
      </c>
      <c r="C14" s="192"/>
      <c r="D14" s="192"/>
      <c r="E14" s="192"/>
      <c r="F14" s="192"/>
      <c r="G14" s="15"/>
      <c r="H14" s="96">
        <f>SUM(H10:H12)</f>
        <v>1001917.13</v>
      </c>
      <c r="I14" s="97">
        <f>SUM(I10:I12)</f>
        <v>0</v>
      </c>
      <c r="J14" s="96">
        <f>SUM(J10:J12)</f>
        <v>1001917.13</v>
      </c>
    </row>
    <row r="15" spans="1:10" ht="18.75" customHeight="1">
      <c r="A15" s="23">
        <v>2</v>
      </c>
      <c r="B15" s="228" t="s">
        <v>65</v>
      </c>
      <c r="C15" s="228"/>
      <c r="D15" s="228"/>
      <c r="E15" s="228"/>
      <c r="F15" s="228"/>
      <c r="G15" s="15"/>
      <c r="H15" s="93"/>
      <c r="I15" s="75"/>
      <c r="J15" s="35"/>
    </row>
    <row r="16" spans="1:10" ht="15.75">
      <c r="A16" s="23" t="s">
        <v>153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25.5" customHeight="1">
      <c r="A17" s="26"/>
      <c r="B17" s="258" t="s">
        <v>199</v>
      </c>
      <c r="C17" s="258"/>
      <c r="D17" s="258"/>
      <c r="E17" s="98" t="s">
        <v>32</v>
      </c>
      <c r="F17" s="80" t="s">
        <v>24</v>
      </c>
      <c r="G17" s="81">
        <v>1.06</v>
      </c>
      <c r="H17" s="99">
        <f>ROUND(G17*$E$3*12,2)</f>
        <v>85146.41</v>
      </c>
      <c r="I17" s="100">
        <f>$I$12*0.08</f>
        <v>0</v>
      </c>
      <c r="J17" s="101">
        <f>SUM(H17:I17)</f>
        <v>85146.41</v>
      </c>
    </row>
    <row r="18" spans="1:10" ht="36" customHeight="1">
      <c r="A18" s="23"/>
      <c r="B18" s="256" t="s">
        <v>17</v>
      </c>
      <c r="C18" s="256"/>
      <c r="D18" s="256"/>
      <c r="E18" s="98" t="s">
        <v>32</v>
      </c>
      <c r="F18" s="80" t="s">
        <v>19</v>
      </c>
      <c r="G18" s="81">
        <v>0.26</v>
      </c>
      <c r="H18" s="99">
        <f>ROUND(G18*$E$3*12,2)</f>
        <v>20884.97</v>
      </c>
      <c r="I18" s="100">
        <f>$I$12*0.02</f>
        <v>0</v>
      </c>
      <c r="J18" s="101">
        <f>SUM(H18:I18)</f>
        <v>20884.97</v>
      </c>
    </row>
    <row r="19" spans="1:10" ht="20.25" customHeight="1">
      <c r="A19" s="23"/>
      <c r="B19" s="255" t="s">
        <v>23</v>
      </c>
      <c r="C19" s="255"/>
      <c r="D19" s="255"/>
      <c r="E19" s="102" t="s">
        <v>154</v>
      </c>
      <c r="F19" s="83" t="s">
        <v>20</v>
      </c>
      <c r="G19" s="81">
        <v>0.9</v>
      </c>
      <c r="H19" s="99">
        <f>J19-I19</f>
        <v>75214.8</v>
      </c>
      <c r="I19" s="100">
        <f>$I$12*0.07</f>
        <v>0</v>
      </c>
      <c r="J19" s="103">
        <v>75214.8</v>
      </c>
    </row>
    <row r="20" spans="1:10" ht="20.25" customHeight="1">
      <c r="A20" s="26"/>
      <c r="B20" s="258" t="s">
        <v>31</v>
      </c>
      <c r="C20" s="258"/>
      <c r="D20" s="258"/>
      <c r="E20" s="104" t="s">
        <v>9</v>
      </c>
      <c r="F20" s="84" t="s">
        <v>10</v>
      </c>
      <c r="G20" s="81">
        <v>0.46</v>
      </c>
      <c r="H20" s="99">
        <f>ROUND(G20*$E$3*12,2)</f>
        <v>36950.33</v>
      </c>
      <c r="I20" s="100">
        <f>$I$12*0.04</f>
        <v>0</v>
      </c>
      <c r="J20" s="101">
        <f>SUM(H20:I20)</f>
        <v>36950.33</v>
      </c>
    </row>
    <row r="21" spans="1:10" ht="65.25" customHeight="1">
      <c r="A21" s="23"/>
      <c r="B21" s="255" t="s">
        <v>27</v>
      </c>
      <c r="C21" s="255"/>
      <c r="D21" s="255"/>
      <c r="E21" s="102" t="s">
        <v>155</v>
      </c>
      <c r="F21" s="83" t="s">
        <v>25</v>
      </c>
      <c r="G21" s="81">
        <v>0.11</v>
      </c>
      <c r="H21" s="99">
        <f>J21-I21</f>
        <v>6070.89</v>
      </c>
      <c r="I21" s="100">
        <f>$I$12*0.01</f>
        <v>0</v>
      </c>
      <c r="J21" s="103">
        <v>6070.89</v>
      </c>
    </row>
    <row r="22" spans="1:10" ht="20.25" customHeight="1">
      <c r="A22" s="26"/>
      <c r="B22" s="255" t="s">
        <v>11</v>
      </c>
      <c r="C22" s="255"/>
      <c r="D22" s="255"/>
      <c r="E22" s="102" t="s">
        <v>9</v>
      </c>
      <c r="F22" s="83" t="s">
        <v>12</v>
      </c>
      <c r="G22" s="81">
        <v>1.93</v>
      </c>
      <c r="H22" s="99">
        <f>J22-I22</f>
        <v>155030.724</v>
      </c>
      <c r="I22" s="100">
        <f>$I$12*0.15</f>
        <v>0</v>
      </c>
      <c r="J22" s="103">
        <f>G22*E3*12</f>
        <v>155030.724</v>
      </c>
    </row>
    <row r="23" spans="1:10" ht="31.5" customHeight="1">
      <c r="A23" s="26"/>
      <c r="B23" s="255" t="s">
        <v>26</v>
      </c>
      <c r="C23" s="251"/>
      <c r="D23" s="251"/>
      <c r="E23" s="105" t="s">
        <v>13</v>
      </c>
      <c r="F23" s="77" t="s">
        <v>14</v>
      </c>
      <c r="G23" s="81">
        <v>0.04</v>
      </c>
      <c r="H23" s="99">
        <f>J23-I23</f>
        <v>3294.89</v>
      </c>
      <c r="I23" s="100">
        <f>$I$12*0.003</f>
        <v>0</v>
      </c>
      <c r="J23" s="103">
        <v>3294.89</v>
      </c>
    </row>
    <row r="24" spans="1:10" ht="28.5" customHeight="1">
      <c r="A24" s="23"/>
      <c r="B24" s="255" t="s">
        <v>71</v>
      </c>
      <c r="C24" s="255"/>
      <c r="D24" s="255"/>
      <c r="E24" s="98" t="s">
        <v>35</v>
      </c>
      <c r="F24" s="46" t="s">
        <v>82</v>
      </c>
      <c r="G24" s="81">
        <v>1.87</v>
      </c>
      <c r="H24" s="99">
        <f aca="true" t="shared" si="0" ref="H24:H29">ROUND(G24*$E$3*12,2)</f>
        <v>150211.12</v>
      </c>
      <c r="I24" s="100">
        <f>$I$12*0.19</f>
        <v>0</v>
      </c>
      <c r="J24" s="101">
        <f aca="true" t="shared" si="1" ref="J24:J29">SUM(H24:I24)</f>
        <v>150211.12</v>
      </c>
    </row>
    <row r="25" spans="1:10" ht="26.25" customHeight="1">
      <c r="A25" s="23"/>
      <c r="B25" s="256" t="s">
        <v>15</v>
      </c>
      <c r="C25" s="256"/>
      <c r="D25" s="256"/>
      <c r="E25" s="98" t="s">
        <v>35</v>
      </c>
      <c r="F25" s="46" t="s">
        <v>82</v>
      </c>
      <c r="G25" s="81">
        <v>0.46</v>
      </c>
      <c r="H25" s="106">
        <f t="shared" si="0"/>
        <v>36950.33</v>
      </c>
      <c r="I25" s="100">
        <v>0</v>
      </c>
      <c r="J25" s="101">
        <f t="shared" si="1"/>
        <v>36950.33</v>
      </c>
    </row>
    <row r="26" spans="1:10" ht="30" customHeight="1">
      <c r="A26" s="23"/>
      <c r="B26" s="257" t="s">
        <v>36</v>
      </c>
      <c r="C26" s="246"/>
      <c r="D26" s="247"/>
      <c r="E26" s="98" t="s">
        <v>35</v>
      </c>
      <c r="F26" s="46" t="s">
        <v>82</v>
      </c>
      <c r="G26" s="48">
        <f>2.99-G27-G28</f>
        <v>2.74</v>
      </c>
      <c r="H26" s="106">
        <f t="shared" si="0"/>
        <v>220095.43</v>
      </c>
      <c r="I26" s="107">
        <f>$I$12*0.18</f>
        <v>0</v>
      </c>
      <c r="J26" s="101">
        <f t="shared" si="1"/>
        <v>220095.43</v>
      </c>
    </row>
    <row r="27" spans="1:10" ht="26.25" customHeight="1">
      <c r="A27" s="26"/>
      <c r="B27" s="255" t="s">
        <v>156</v>
      </c>
      <c r="C27" s="255"/>
      <c r="D27" s="255"/>
      <c r="E27" s="98" t="s">
        <v>35</v>
      </c>
      <c r="F27" s="46" t="s">
        <v>82</v>
      </c>
      <c r="G27" s="48">
        <v>0.25</v>
      </c>
      <c r="H27" s="106">
        <f t="shared" si="0"/>
        <v>20081.7</v>
      </c>
      <c r="I27" s="107">
        <f>$I$12*0.02</f>
        <v>0</v>
      </c>
      <c r="J27" s="101">
        <f t="shared" si="1"/>
        <v>20081.7</v>
      </c>
    </row>
    <row r="28" spans="1:10" ht="28.5" customHeight="1">
      <c r="A28" s="23"/>
      <c r="B28" s="255" t="s">
        <v>157</v>
      </c>
      <c r="C28" s="255"/>
      <c r="D28" s="255"/>
      <c r="E28" s="102" t="s">
        <v>9</v>
      </c>
      <c r="F28" s="46" t="s">
        <v>82</v>
      </c>
      <c r="G28" s="48">
        <v>0</v>
      </c>
      <c r="H28" s="106">
        <f t="shared" si="0"/>
        <v>0</v>
      </c>
      <c r="I28" s="107">
        <v>0</v>
      </c>
      <c r="J28" s="101">
        <f t="shared" si="1"/>
        <v>0</v>
      </c>
    </row>
    <row r="29" spans="1:10" ht="27" customHeight="1">
      <c r="A29" s="23"/>
      <c r="B29" s="251" t="s">
        <v>21</v>
      </c>
      <c r="C29" s="251"/>
      <c r="D29" s="251"/>
      <c r="E29" s="102" t="s">
        <v>9</v>
      </c>
      <c r="F29" s="46" t="s">
        <v>82</v>
      </c>
      <c r="G29" s="77">
        <v>1.26</v>
      </c>
      <c r="H29" s="99">
        <f t="shared" si="0"/>
        <v>101211.77</v>
      </c>
      <c r="I29" s="100">
        <f>$I$12*0.1</f>
        <v>0</v>
      </c>
      <c r="J29" s="101">
        <f t="shared" si="1"/>
        <v>101211.77</v>
      </c>
    </row>
    <row r="30" spans="1:10" ht="21.75" customHeight="1">
      <c r="A30" s="23"/>
      <c r="B30" s="252" t="s">
        <v>158</v>
      </c>
      <c r="C30" s="253"/>
      <c r="D30" s="254"/>
      <c r="E30" s="102" t="s">
        <v>9</v>
      </c>
      <c r="F30" s="46"/>
      <c r="G30" s="77"/>
      <c r="H30" s="106"/>
      <c r="I30" s="95"/>
      <c r="J30" s="108"/>
    </row>
    <row r="31" spans="1:10" ht="27" customHeight="1">
      <c r="A31" s="23"/>
      <c r="B31" s="252" t="s">
        <v>159</v>
      </c>
      <c r="C31" s="253"/>
      <c r="D31" s="254"/>
      <c r="E31" s="98" t="s">
        <v>35</v>
      </c>
      <c r="F31" s="46"/>
      <c r="G31" s="77"/>
      <c r="H31" s="106"/>
      <c r="I31" s="95"/>
      <c r="J31" s="108"/>
    </row>
    <row r="32" spans="1:10" ht="15.75">
      <c r="A32" s="23"/>
      <c r="B32" s="245"/>
      <c r="C32" s="246"/>
      <c r="D32" s="247"/>
      <c r="E32" s="102"/>
      <c r="F32" s="46"/>
      <c r="G32" s="77"/>
      <c r="H32" s="106"/>
      <c r="I32" s="95"/>
      <c r="J32" s="108"/>
    </row>
    <row r="33" spans="1:10" ht="15.75">
      <c r="A33" s="23"/>
      <c r="B33" s="245"/>
      <c r="C33" s="246"/>
      <c r="D33" s="247"/>
      <c r="E33" s="102"/>
      <c r="F33" s="46"/>
      <c r="G33" s="77"/>
      <c r="H33" s="106"/>
      <c r="I33" s="95"/>
      <c r="J33" s="108"/>
    </row>
    <row r="34" spans="1:10" ht="15.75">
      <c r="A34" s="23"/>
      <c r="B34" s="229" t="s">
        <v>30</v>
      </c>
      <c r="C34" s="229"/>
      <c r="D34" s="229"/>
      <c r="E34" s="14"/>
      <c r="F34" s="46"/>
      <c r="G34" s="21">
        <f>SUM(G17:G29)</f>
        <v>11.34</v>
      </c>
      <c r="H34" s="40">
        <f>SUM(H17:H33)</f>
        <v>911143.3640000001</v>
      </c>
      <c r="I34" s="109">
        <f>SUM(I17:I33)</f>
        <v>0</v>
      </c>
      <c r="J34" s="40">
        <f>SUM(J17:J33)</f>
        <v>911143.3640000001</v>
      </c>
    </row>
    <row r="35" spans="1:10" ht="15" customHeight="1">
      <c r="A35" s="23" t="s">
        <v>160</v>
      </c>
      <c r="B35" s="248" t="s">
        <v>161</v>
      </c>
      <c r="C35" s="249"/>
      <c r="D35" s="249"/>
      <c r="E35" s="250"/>
      <c r="F35" s="46" t="s">
        <v>82</v>
      </c>
      <c r="G35" s="24">
        <f>H35/E3/12</f>
        <v>0.04730675191841329</v>
      </c>
      <c r="H35" s="28">
        <v>3800</v>
      </c>
      <c r="I35" s="110">
        <v>0</v>
      </c>
      <c r="J35" s="96">
        <f>SUM(H35:I35)</f>
        <v>3800</v>
      </c>
    </row>
    <row r="36" spans="1:10" ht="14.25" customHeight="1">
      <c r="A36" s="25"/>
      <c r="B36" s="240" t="s">
        <v>69</v>
      </c>
      <c r="C36" s="240"/>
      <c r="D36" s="240"/>
      <c r="E36" s="240"/>
      <c r="F36" s="240"/>
      <c r="G36" s="5">
        <f>SUM(G34:G35)</f>
        <v>11.387306751918413</v>
      </c>
      <c r="H36" s="41">
        <f>SUM(H34:H35)</f>
        <v>914943.3640000001</v>
      </c>
      <c r="I36" s="111">
        <f>SUM(I34:I35)</f>
        <v>0</v>
      </c>
      <c r="J36" s="41">
        <f>SUM(J34:J35)</f>
        <v>914943.3640000001</v>
      </c>
    </row>
    <row r="37" spans="1:10" ht="15.75">
      <c r="A37" s="23" t="s">
        <v>162</v>
      </c>
      <c r="B37" s="241" t="s">
        <v>163</v>
      </c>
      <c r="C37" s="241"/>
      <c r="D37" s="241"/>
      <c r="E37" s="241"/>
      <c r="F37" s="241"/>
      <c r="G37" s="112"/>
      <c r="H37" s="113">
        <v>0</v>
      </c>
      <c r="I37" s="113">
        <v>0</v>
      </c>
      <c r="J37" s="114">
        <f>SUM(H37:I37)</f>
        <v>0</v>
      </c>
    </row>
    <row r="38" spans="1:10" ht="15" customHeight="1">
      <c r="A38" s="25"/>
      <c r="B38" s="240" t="s">
        <v>164</v>
      </c>
      <c r="C38" s="240"/>
      <c r="D38" s="240"/>
      <c r="E38" s="240"/>
      <c r="F38" s="240"/>
      <c r="G38" s="5">
        <f>SUM(G36:G37)</f>
        <v>11.387306751918413</v>
      </c>
      <c r="H38" s="41">
        <f>SUM(H36:H37)</f>
        <v>914943.3640000001</v>
      </c>
      <c r="I38" s="111">
        <f>SUM(I36:I37)</f>
        <v>0</v>
      </c>
      <c r="J38" s="41">
        <f>SUM(J36:J37)</f>
        <v>914943.3640000001</v>
      </c>
    </row>
    <row r="39" spans="1:10" ht="15.75" customHeight="1">
      <c r="A39" s="23">
        <v>3</v>
      </c>
      <c r="B39" s="242" t="s">
        <v>165</v>
      </c>
      <c r="C39" s="243"/>
      <c r="D39" s="243"/>
      <c r="E39" s="243"/>
      <c r="F39" s="243"/>
      <c r="G39" s="244"/>
      <c r="H39" s="115">
        <f>H14-H38</f>
        <v>86973.76599999995</v>
      </c>
      <c r="I39" s="99">
        <f>I14-I38</f>
        <v>0</v>
      </c>
      <c r="J39" s="116">
        <f>J14-J38</f>
        <v>86973.76599999995</v>
      </c>
    </row>
    <row r="40" spans="2:6" ht="15.75">
      <c r="B40" s="34"/>
      <c r="F40" s="34"/>
    </row>
    <row r="41" spans="2:6" ht="15.75">
      <c r="B41" s="43" t="s">
        <v>78</v>
      </c>
      <c r="C41" s="43"/>
      <c r="D41" s="43"/>
      <c r="E41" s="34"/>
      <c r="F41" s="34"/>
    </row>
    <row r="42" spans="2:4" ht="15.75">
      <c r="B42" s="43"/>
      <c r="C42" s="43"/>
      <c r="D42" s="43"/>
    </row>
    <row r="43" spans="2:4" ht="15.75">
      <c r="B43" s="34" t="s">
        <v>88</v>
      </c>
      <c r="C43" s="47"/>
      <c r="D43" s="44"/>
    </row>
    <row r="44" spans="2:4" ht="15.75">
      <c r="B44" s="206" t="s">
        <v>87</v>
      </c>
      <c r="C44" s="206"/>
      <c r="D44" s="206"/>
    </row>
  </sheetData>
  <sheetProtection/>
  <mergeCells count="36">
    <mergeCell ref="A1:J1"/>
    <mergeCell ref="A2:J2"/>
    <mergeCell ref="B7:D7"/>
    <mergeCell ref="H7:J7"/>
    <mergeCell ref="B14:F14"/>
    <mergeCell ref="B15:F15"/>
    <mergeCell ref="B8:F8"/>
    <mergeCell ref="B9:F9"/>
    <mergeCell ref="B10:F10"/>
    <mergeCell ref="B11:F11"/>
    <mergeCell ref="B12:F12"/>
    <mergeCell ref="B13:F13"/>
    <mergeCell ref="B17:D17"/>
    <mergeCell ref="B18:D18"/>
    <mergeCell ref="B19:D19"/>
    <mergeCell ref="B28:D28"/>
    <mergeCell ref="B20:D20"/>
    <mergeCell ref="B21:D21"/>
    <mergeCell ref="B22:D22"/>
    <mergeCell ref="B23:D23"/>
    <mergeCell ref="B29:D29"/>
    <mergeCell ref="B30:D30"/>
    <mergeCell ref="B31:D31"/>
    <mergeCell ref="B24:D24"/>
    <mergeCell ref="B25:D25"/>
    <mergeCell ref="B26:D26"/>
    <mergeCell ref="B27:D27"/>
    <mergeCell ref="B32:D32"/>
    <mergeCell ref="B33:D33"/>
    <mergeCell ref="B34:D34"/>
    <mergeCell ref="B35:E35"/>
    <mergeCell ref="B44:D44"/>
    <mergeCell ref="B36:F36"/>
    <mergeCell ref="B37:F37"/>
    <mergeCell ref="B38:F38"/>
    <mergeCell ref="B39:G39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H32" sqref="H32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375" style="0" customWidth="1"/>
    <col min="6" max="6" width="18.00390625" style="0" hidden="1" customWidth="1"/>
    <col min="7" max="7" width="6.625" style="0" hidden="1" customWidth="1"/>
    <col min="8" max="8" width="14.125" style="0" customWidth="1"/>
    <col min="9" max="9" width="9.875" style="0" bestFit="1" customWidth="1"/>
  </cols>
  <sheetData>
    <row r="1" spans="1:8" ht="121.5" customHeight="1">
      <c r="A1" s="224" t="s">
        <v>198</v>
      </c>
      <c r="B1" s="224"/>
      <c r="C1" s="224"/>
      <c r="D1" s="224"/>
      <c r="E1" s="224"/>
      <c r="F1" s="224"/>
      <c r="G1" s="224"/>
      <c r="H1" s="224"/>
    </row>
    <row r="2" spans="1:6" ht="18.75">
      <c r="A2" s="1" t="s">
        <v>77</v>
      </c>
      <c r="B2" s="1" t="s">
        <v>84</v>
      </c>
      <c r="C2" s="2"/>
      <c r="D2" s="2" t="s">
        <v>0</v>
      </c>
      <c r="E2" s="4">
        <v>6693.9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127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85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71" t="s">
        <v>142</v>
      </c>
      <c r="C6" s="272"/>
      <c r="D6" s="273"/>
      <c r="E6" s="73" t="s">
        <v>6</v>
      </c>
      <c r="F6" s="73" t="s">
        <v>7</v>
      </c>
      <c r="G6" s="118" t="s">
        <v>190</v>
      </c>
      <c r="H6" s="119" t="s">
        <v>134</v>
      </c>
    </row>
    <row r="7" spans="1:8" ht="15.75" customHeight="1">
      <c r="A7" s="74">
        <v>1</v>
      </c>
      <c r="B7" s="274" t="s">
        <v>135</v>
      </c>
      <c r="C7" s="274"/>
      <c r="D7" s="274"/>
      <c r="E7" s="274"/>
      <c r="F7" s="274"/>
      <c r="G7" s="75"/>
      <c r="H7" s="76"/>
    </row>
    <row r="8" spans="1:8" ht="15.75" customHeight="1">
      <c r="A8" s="74"/>
      <c r="B8" s="192" t="s">
        <v>191</v>
      </c>
      <c r="C8" s="192"/>
      <c r="D8" s="192"/>
      <c r="E8" s="192"/>
      <c r="F8" s="192"/>
      <c r="G8" s="24">
        <f>G31</f>
        <v>14.489999999999997</v>
      </c>
      <c r="H8" s="76">
        <f>ROUND($E$2*G8*12,0)</f>
        <v>1163935</v>
      </c>
    </row>
    <row r="9" spans="1:8" ht="15.75" customHeight="1">
      <c r="A9" s="74"/>
      <c r="B9" s="276" t="s">
        <v>136</v>
      </c>
      <c r="C9" s="276"/>
      <c r="D9" s="276"/>
      <c r="E9" s="276"/>
      <c r="F9" s="276"/>
      <c r="G9" s="23">
        <v>0.76</v>
      </c>
      <c r="H9" s="76">
        <f>ROUND($E$2*G9*12,0)</f>
        <v>61048</v>
      </c>
    </row>
    <row r="10" spans="1:8" ht="15.75" customHeight="1">
      <c r="A10" s="74">
        <v>2</v>
      </c>
      <c r="B10" s="228" t="s">
        <v>65</v>
      </c>
      <c r="C10" s="228"/>
      <c r="D10" s="228"/>
      <c r="E10" s="228"/>
      <c r="F10" s="228"/>
      <c r="G10" s="77"/>
      <c r="H10" s="76"/>
    </row>
    <row r="11" spans="1:8" ht="18.75" customHeight="1">
      <c r="A11" s="74" t="s">
        <v>153</v>
      </c>
      <c r="B11" s="19" t="s">
        <v>66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75" t="s">
        <v>201</v>
      </c>
      <c r="C12" s="275"/>
      <c r="D12" s="275"/>
      <c r="E12" s="98" t="s">
        <v>32</v>
      </c>
      <c r="F12" s="80" t="s">
        <v>24</v>
      </c>
      <c r="G12" s="81">
        <v>1.22</v>
      </c>
      <c r="H12" s="82">
        <f aca="true" t="shared" si="0" ref="H12:H31">ROUND($E$2*G12*12,0)</f>
        <v>97999</v>
      </c>
    </row>
    <row r="13" spans="1:9" ht="15.75" customHeight="1">
      <c r="A13" s="79"/>
      <c r="B13" s="275" t="s">
        <v>17</v>
      </c>
      <c r="C13" s="275"/>
      <c r="D13" s="275"/>
      <c r="E13" s="98" t="s">
        <v>32</v>
      </c>
      <c r="F13" s="80" t="s">
        <v>19</v>
      </c>
      <c r="G13" s="81">
        <v>0.28</v>
      </c>
      <c r="H13" s="82">
        <f t="shared" si="0"/>
        <v>22492</v>
      </c>
      <c r="I13" s="31"/>
    </row>
    <row r="14" spans="1:8" ht="18.75" customHeight="1">
      <c r="A14" s="79"/>
      <c r="B14" s="277" t="s">
        <v>23</v>
      </c>
      <c r="C14" s="277"/>
      <c r="D14" s="277"/>
      <c r="E14" s="102" t="s">
        <v>154</v>
      </c>
      <c r="F14" s="83" t="s">
        <v>20</v>
      </c>
      <c r="G14" s="81">
        <v>0.99</v>
      </c>
      <c r="H14" s="82">
        <f t="shared" si="0"/>
        <v>79524</v>
      </c>
    </row>
    <row r="15" spans="1:8" ht="15.75" customHeight="1">
      <c r="A15" s="79"/>
      <c r="B15" s="279" t="s">
        <v>31</v>
      </c>
      <c r="C15" s="279"/>
      <c r="D15" s="279"/>
      <c r="E15" s="104" t="s">
        <v>9</v>
      </c>
      <c r="F15" s="84" t="s">
        <v>10</v>
      </c>
      <c r="G15" s="81">
        <v>0.51</v>
      </c>
      <c r="H15" s="82">
        <f t="shared" si="0"/>
        <v>40967</v>
      </c>
    </row>
    <row r="16" spans="1:8" ht="31.5" customHeight="1">
      <c r="A16" s="79"/>
      <c r="B16" s="277" t="s">
        <v>27</v>
      </c>
      <c r="C16" s="277"/>
      <c r="D16" s="277"/>
      <c r="E16" s="102" t="s">
        <v>155</v>
      </c>
      <c r="F16" s="83" t="s">
        <v>25</v>
      </c>
      <c r="G16" s="81">
        <v>0.12</v>
      </c>
      <c r="H16" s="82">
        <f t="shared" si="0"/>
        <v>9639</v>
      </c>
    </row>
    <row r="17" spans="1:8" ht="15.75" customHeight="1">
      <c r="A17" s="79"/>
      <c r="B17" s="277" t="s">
        <v>11</v>
      </c>
      <c r="C17" s="277"/>
      <c r="D17" s="277"/>
      <c r="E17" s="102" t="s">
        <v>9</v>
      </c>
      <c r="F17" s="83" t="s">
        <v>12</v>
      </c>
      <c r="G17" s="81">
        <v>2.22</v>
      </c>
      <c r="H17" s="82">
        <f t="shared" si="0"/>
        <v>178325</v>
      </c>
    </row>
    <row r="18" spans="1:8" ht="15.75" customHeight="1">
      <c r="A18" s="79"/>
      <c r="B18" s="277" t="s">
        <v>26</v>
      </c>
      <c r="C18" s="278"/>
      <c r="D18" s="278"/>
      <c r="E18" s="105" t="s">
        <v>13</v>
      </c>
      <c r="F18" s="77" t="s">
        <v>137</v>
      </c>
      <c r="G18" s="81">
        <v>0.05</v>
      </c>
      <c r="H18" s="82">
        <f t="shared" si="0"/>
        <v>4016</v>
      </c>
    </row>
    <row r="19" spans="1:8" ht="33" customHeight="1">
      <c r="A19" s="79"/>
      <c r="B19" s="277" t="s">
        <v>71</v>
      </c>
      <c r="C19" s="277"/>
      <c r="D19" s="277"/>
      <c r="E19" s="98" t="s">
        <v>35</v>
      </c>
      <c r="F19" s="83" t="s">
        <v>82</v>
      </c>
      <c r="G19" s="81">
        <v>2.15</v>
      </c>
      <c r="H19" s="82">
        <f t="shared" si="0"/>
        <v>172703</v>
      </c>
    </row>
    <row r="20" spans="1:8" ht="51">
      <c r="A20" s="79"/>
      <c r="B20" s="275" t="s">
        <v>15</v>
      </c>
      <c r="C20" s="275"/>
      <c r="D20" s="275"/>
      <c r="E20" s="98" t="s">
        <v>138</v>
      </c>
      <c r="F20" s="83" t="s">
        <v>82</v>
      </c>
      <c r="G20" s="81">
        <v>0.53</v>
      </c>
      <c r="H20" s="82">
        <f t="shared" si="0"/>
        <v>42573</v>
      </c>
    </row>
    <row r="21" spans="1:8" ht="25.5">
      <c r="A21" s="79"/>
      <c r="B21" s="277" t="s">
        <v>36</v>
      </c>
      <c r="C21" s="278"/>
      <c r="D21" s="278"/>
      <c r="E21" s="98" t="s">
        <v>35</v>
      </c>
      <c r="F21" s="83" t="s">
        <v>82</v>
      </c>
      <c r="G21" s="81">
        <f>3.52-G22-G23</f>
        <v>3.23</v>
      </c>
      <c r="H21" s="82">
        <f t="shared" si="0"/>
        <v>259456</v>
      </c>
    </row>
    <row r="22" spans="1:8" ht="15.75" customHeight="1">
      <c r="A22" s="79"/>
      <c r="B22" s="277" t="s">
        <v>192</v>
      </c>
      <c r="C22" s="277"/>
      <c r="D22" s="277"/>
      <c r="E22" s="102" t="s">
        <v>9</v>
      </c>
      <c r="F22" s="83" t="s">
        <v>82</v>
      </c>
      <c r="G22" s="81">
        <v>0.29</v>
      </c>
      <c r="H22" s="82">
        <f t="shared" si="0"/>
        <v>23295</v>
      </c>
    </row>
    <row r="23" spans="1:8" ht="36.75" customHeight="1">
      <c r="A23" s="79"/>
      <c r="B23" s="277" t="s">
        <v>157</v>
      </c>
      <c r="C23" s="277"/>
      <c r="D23" s="277"/>
      <c r="E23" s="102" t="s">
        <v>9</v>
      </c>
      <c r="F23" s="83" t="s">
        <v>82</v>
      </c>
      <c r="G23" s="81">
        <v>0</v>
      </c>
      <c r="H23" s="82">
        <f t="shared" si="0"/>
        <v>0</v>
      </c>
    </row>
    <row r="24" spans="1:8" ht="25.5">
      <c r="A24" s="79"/>
      <c r="B24" s="278" t="s">
        <v>21</v>
      </c>
      <c r="C24" s="278"/>
      <c r="D24" s="278"/>
      <c r="E24" s="98" t="s">
        <v>35</v>
      </c>
      <c r="F24" s="83" t="s">
        <v>82</v>
      </c>
      <c r="G24" s="81">
        <v>1.45</v>
      </c>
      <c r="H24" s="82">
        <f t="shared" si="0"/>
        <v>116474</v>
      </c>
    </row>
    <row r="25" spans="1:8" ht="15.75">
      <c r="A25" s="23"/>
      <c r="B25" s="252" t="s">
        <v>158</v>
      </c>
      <c r="C25" s="253"/>
      <c r="D25" s="254"/>
      <c r="E25" s="102" t="s">
        <v>9</v>
      </c>
      <c r="F25" s="83"/>
      <c r="G25" s="81"/>
      <c r="H25" s="82"/>
    </row>
    <row r="26" spans="1:8" ht="31.5" customHeight="1">
      <c r="A26" s="23"/>
      <c r="B26" s="252" t="s">
        <v>159</v>
      </c>
      <c r="C26" s="253"/>
      <c r="D26" s="254"/>
      <c r="E26" s="98" t="s">
        <v>35</v>
      </c>
      <c r="F26" s="83"/>
      <c r="G26" s="81"/>
      <c r="H26" s="82"/>
    </row>
    <row r="27" spans="1:8" ht="15.75" customHeight="1">
      <c r="A27" s="79"/>
      <c r="B27" s="245"/>
      <c r="C27" s="246"/>
      <c r="D27" s="247"/>
      <c r="E27" s="98"/>
      <c r="F27" s="83"/>
      <c r="G27" s="81"/>
      <c r="H27" s="82"/>
    </row>
    <row r="28" spans="1:8" ht="15.75">
      <c r="A28" s="79"/>
      <c r="B28" s="245"/>
      <c r="C28" s="246"/>
      <c r="D28" s="247"/>
      <c r="E28" s="98"/>
      <c r="F28" s="83"/>
      <c r="G28" s="81"/>
      <c r="H28" s="82"/>
    </row>
    <row r="29" spans="1:8" ht="15.75">
      <c r="A29" s="79"/>
      <c r="B29" s="280" t="s">
        <v>30</v>
      </c>
      <c r="C29" s="281"/>
      <c r="D29" s="282"/>
      <c r="E29" s="14"/>
      <c r="F29" s="83"/>
      <c r="G29" s="21">
        <f>SUM(G12:G28)</f>
        <v>13.039999999999997</v>
      </c>
      <c r="H29" s="82">
        <f t="shared" si="0"/>
        <v>1047461</v>
      </c>
    </row>
    <row r="30" spans="1:8" ht="15.75">
      <c r="A30" s="74" t="s">
        <v>160</v>
      </c>
      <c r="B30" s="248" t="s">
        <v>193</v>
      </c>
      <c r="C30" s="249"/>
      <c r="D30" s="249"/>
      <c r="E30" s="250"/>
      <c r="F30" s="51" t="s">
        <v>139</v>
      </c>
      <c r="G30" s="24">
        <v>1.45</v>
      </c>
      <c r="H30" s="82">
        <f t="shared" si="0"/>
        <v>116474</v>
      </c>
    </row>
    <row r="31" spans="1:8" ht="15.75" customHeight="1">
      <c r="A31" s="74"/>
      <c r="B31" s="267" t="s">
        <v>194</v>
      </c>
      <c r="C31" s="267"/>
      <c r="D31" s="267"/>
      <c r="E31" s="267"/>
      <c r="F31" s="267"/>
      <c r="G31" s="21">
        <f>SUM(G29:G30)</f>
        <v>14.489999999999997</v>
      </c>
      <c r="H31" s="120">
        <f t="shared" si="0"/>
        <v>1163935</v>
      </c>
    </row>
    <row r="32" spans="1:8" ht="16.5" thickBot="1">
      <c r="A32" s="121">
        <v>3</v>
      </c>
      <c r="B32" s="268" t="s">
        <v>195</v>
      </c>
      <c r="C32" s="269"/>
      <c r="D32" s="270"/>
      <c r="E32" s="122"/>
      <c r="F32" s="123" t="s">
        <v>139</v>
      </c>
      <c r="G32" s="124">
        <v>0.76</v>
      </c>
      <c r="H32" s="125">
        <f>ROUND($E$2*G32*12,0)</f>
        <v>61048</v>
      </c>
    </row>
    <row r="33" spans="7:8" ht="15.75">
      <c r="G33" s="85"/>
      <c r="H33" s="86"/>
    </row>
    <row r="34" spans="1:8" ht="15.75" customHeight="1">
      <c r="A34" s="43" t="s">
        <v>78</v>
      </c>
      <c r="B34" s="43"/>
      <c r="C34" s="43"/>
      <c r="D34" s="34"/>
      <c r="G34" s="85"/>
      <c r="H34" s="86"/>
    </row>
  </sheetData>
  <sheetProtection/>
  <mergeCells count="27">
    <mergeCell ref="B13:D13"/>
    <mergeCell ref="B14:D14"/>
    <mergeCell ref="B15:D15"/>
    <mergeCell ref="B29:D29"/>
    <mergeCell ref="B24:D24"/>
    <mergeCell ref="B25:D25"/>
    <mergeCell ref="B26:D26"/>
    <mergeCell ref="B27:D27"/>
    <mergeCell ref="B28:D28"/>
    <mergeCell ref="B20:D20"/>
    <mergeCell ref="B21:D21"/>
    <mergeCell ref="B22:D22"/>
    <mergeCell ref="B23:D23"/>
    <mergeCell ref="B16:D16"/>
    <mergeCell ref="B17:D17"/>
    <mergeCell ref="B18:D18"/>
    <mergeCell ref="B19:D19"/>
    <mergeCell ref="B30:E30"/>
    <mergeCell ref="B31:F31"/>
    <mergeCell ref="B32:D32"/>
    <mergeCell ref="A1:H1"/>
    <mergeCell ref="B6:D6"/>
    <mergeCell ref="B7:F7"/>
    <mergeCell ref="B12:D12"/>
    <mergeCell ref="B8:F8"/>
    <mergeCell ref="B9:F9"/>
    <mergeCell ref="B10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875" style="0" customWidth="1"/>
    <col min="6" max="6" width="18.00390625" style="0" hidden="1" customWidth="1"/>
    <col min="7" max="7" width="10.875" style="0" hidden="1" customWidth="1"/>
    <col min="8" max="8" width="13.25390625" style="0" customWidth="1"/>
    <col min="9" max="9" width="12.00390625" style="0" customWidth="1"/>
    <col min="10" max="10" width="13.00390625" style="0" customWidth="1"/>
  </cols>
  <sheetData>
    <row r="1" spans="1:10" ht="126.75" customHeight="1">
      <c r="A1" s="224" t="s">
        <v>209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54" customHeight="1">
      <c r="A2" s="260" t="s">
        <v>203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6693.9</v>
      </c>
      <c r="F3" s="2"/>
      <c r="I3" s="87"/>
    </row>
    <row r="4" spans="2:9" ht="15.75">
      <c r="B4" s="3" t="s">
        <v>1</v>
      </c>
      <c r="C4" s="27">
        <v>9</v>
      </c>
      <c r="D4" s="2" t="s">
        <v>2</v>
      </c>
      <c r="E4" s="4">
        <v>127</v>
      </c>
      <c r="F4" s="2"/>
      <c r="I4" t="s">
        <v>101</v>
      </c>
    </row>
    <row r="5" spans="2:9" ht="15.75">
      <c r="B5" s="3" t="s">
        <v>3</v>
      </c>
      <c r="C5" s="4">
        <v>4</v>
      </c>
      <c r="D5" s="2" t="s">
        <v>4</v>
      </c>
      <c r="E5" s="2" t="s">
        <v>85</v>
      </c>
      <c r="F5" s="2"/>
      <c r="G5" s="2"/>
      <c r="I5" s="2" t="s">
        <v>140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141</v>
      </c>
    </row>
    <row r="7" spans="1:10" ht="39" customHeight="1">
      <c r="A7" s="22" t="s">
        <v>60</v>
      </c>
      <c r="B7" s="261" t="s">
        <v>142</v>
      </c>
      <c r="C7" s="262"/>
      <c r="D7" s="263"/>
      <c r="E7" s="11" t="s">
        <v>6</v>
      </c>
      <c r="F7" s="11" t="s">
        <v>7</v>
      </c>
      <c r="G7" s="33" t="s">
        <v>22</v>
      </c>
      <c r="H7" s="264" t="s">
        <v>143</v>
      </c>
      <c r="I7" s="265"/>
      <c r="J7" s="266"/>
    </row>
    <row r="8" spans="1:10" ht="15.75">
      <c r="A8" s="23">
        <v>1</v>
      </c>
      <c r="B8" s="189"/>
      <c r="C8" s="190"/>
      <c r="D8" s="190"/>
      <c r="E8" s="190"/>
      <c r="F8" s="191"/>
      <c r="G8" s="89"/>
      <c r="H8" s="90" t="s">
        <v>144</v>
      </c>
      <c r="I8" s="91" t="s">
        <v>145</v>
      </c>
      <c r="J8" s="91" t="s">
        <v>146</v>
      </c>
    </row>
    <row r="9" spans="1:10" ht="15.75">
      <c r="A9" s="23"/>
      <c r="B9" s="189" t="s">
        <v>147</v>
      </c>
      <c r="C9" s="190"/>
      <c r="D9" s="190"/>
      <c r="E9" s="190"/>
      <c r="F9" s="191"/>
      <c r="G9" s="78"/>
      <c r="H9" s="78"/>
      <c r="I9" s="58"/>
      <c r="J9" s="91"/>
    </row>
    <row r="10" spans="1:10" ht="15.75" customHeight="1">
      <c r="A10" s="92"/>
      <c r="B10" s="259" t="s">
        <v>148</v>
      </c>
      <c r="C10" s="259"/>
      <c r="D10" s="259"/>
      <c r="E10" s="259"/>
      <c r="F10" s="259"/>
      <c r="G10" s="15"/>
      <c r="H10" s="93">
        <v>1167083.75</v>
      </c>
      <c r="I10" s="75"/>
      <c r="J10" s="94">
        <f>H10+I10</f>
        <v>1167083.75</v>
      </c>
    </row>
    <row r="11" spans="1:10" ht="15.75" customHeight="1">
      <c r="A11" s="92"/>
      <c r="B11" s="259" t="s">
        <v>149</v>
      </c>
      <c r="C11" s="259"/>
      <c r="D11" s="259"/>
      <c r="E11" s="259"/>
      <c r="F11" s="259"/>
      <c r="G11" s="15"/>
      <c r="H11" s="16">
        <v>12726.12</v>
      </c>
      <c r="I11" s="75"/>
      <c r="J11" s="94">
        <f>H11+I11</f>
        <v>12726.12</v>
      </c>
    </row>
    <row r="12" spans="1:10" ht="15.75" customHeight="1">
      <c r="A12" s="23"/>
      <c r="B12" s="259" t="s">
        <v>150</v>
      </c>
      <c r="C12" s="259"/>
      <c r="D12" s="259"/>
      <c r="E12" s="259"/>
      <c r="F12" s="259"/>
      <c r="G12" s="15"/>
      <c r="H12" s="93"/>
      <c r="I12" s="75">
        <v>0</v>
      </c>
      <c r="J12" s="94">
        <f>H12+I12</f>
        <v>0</v>
      </c>
    </row>
    <row r="13" spans="1:10" ht="15.75" customHeight="1">
      <c r="A13" s="23"/>
      <c r="B13" s="259" t="s">
        <v>151</v>
      </c>
      <c r="C13" s="259"/>
      <c r="D13" s="259"/>
      <c r="E13" s="259"/>
      <c r="F13" s="259"/>
      <c r="G13" s="15"/>
      <c r="H13" s="93">
        <v>0</v>
      </c>
      <c r="I13" s="95">
        <v>0</v>
      </c>
      <c r="J13" s="94">
        <f>H13+I13</f>
        <v>0</v>
      </c>
    </row>
    <row r="14" spans="1:10" ht="15.75" customHeight="1">
      <c r="A14" s="23"/>
      <c r="B14" s="192" t="s">
        <v>152</v>
      </c>
      <c r="C14" s="192"/>
      <c r="D14" s="192"/>
      <c r="E14" s="192"/>
      <c r="F14" s="192"/>
      <c r="G14" s="15"/>
      <c r="H14" s="96">
        <f>SUM(H10:H13)</f>
        <v>1179809.87</v>
      </c>
      <c r="I14" s="96">
        <f>SUM(I10:I13)</f>
        <v>0</v>
      </c>
      <c r="J14" s="96">
        <f>SUM(J10:J13)</f>
        <v>1179809.87</v>
      </c>
    </row>
    <row r="15" spans="1:10" ht="18.75" customHeight="1">
      <c r="A15" s="23">
        <v>2</v>
      </c>
      <c r="B15" s="228" t="s">
        <v>65</v>
      </c>
      <c r="C15" s="228"/>
      <c r="D15" s="228"/>
      <c r="E15" s="228"/>
      <c r="F15" s="228"/>
      <c r="G15" s="15"/>
      <c r="H15" s="93"/>
      <c r="I15" s="75"/>
      <c r="J15" s="35"/>
    </row>
    <row r="16" spans="1:10" ht="15.75">
      <c r="A16" s="23" t="s">
        <v>153</v>
      </c>
      <c r="B16" s="19" t="s">
        <v>66</v>
      </c>
      <c r="C16" s="19"/>
      <c r="D16" s="19"/>
      <c r="E16" s="19"/>
      <c r="F16" s="5"/>
      <c r="G16" s="90"/>
      <c r="H16" s="90"/>
      <c r="I16" s="88"/>
      <c r="J16" s="91"/>
    </row>
    <row r="17" spans="1:10" ht="25.5" customHeight="1">
      <c r="A17" s="26"/>
      <c r="B17" s="258" t="s">
        <v>204</v>
      </c>
      <c r="C17" s="258"/>
      <c r="D17" s="258"/>
      <c r="E17" s="98" t="s">
        <v>32</v>
      </c>
      <c r="F17" s="80" t="s">
        <v>24</v>
      </c>
      <c r="G17" s="81">
        <v>1.22</v>
      </c>
      <c r="H17" s="99">
        <f>ROUND(G17*$E$3*12,2)</f>
        <v>97998.7</v>
      </c>
      <c r="I17" s="100">
        <f>$I$12*0.08</f>
        <v>0</v>
      </c>
      <c r="J17" s="101">
        <f>SUM(H17:I17)</f>
        <v>97998.7</v>
      </c>
    </row>
    <row r="18" spans="1:10" ht="36" customHeight="1">
      <c r="A18" s="23"/>
      <c r="B18" s="256" t="s">
        <v>17</v>
      </c>
      <c r="C18" s="256"/>
      <c r="D18" s="256"/>
      <c r="E18" s="98" t="s">
        <v>32</v>
      </c>
      <c r="F18" s="80" t="s">
        <v>19</v>
      </c>
      <c r="G18" s="81">
        <v>0.28</v>
      </c>
      <c r="H18" s="99">
        <f>ROUND(G18*$E$3*12,2)</f>
        <v>22491.5</v>
      </c>
      <c r="I18" s="100">
        <f>$I$12*0.02</f>
        <v>0</v>
      </c>
      <c r="J18" s="101">
        <f>SUM(H18:I18)</f>
        <v>22491.5</v>
      </c>
    </row>
    <row r="19" spans="1:10" ht="20.25" customHeight="1">
      <c r="A19" s="23"/>
      <c r="B19" s="255" t="s">
        <v>23</v>
      </c>
      <c r="C19" s="255"/>
      <c r="D19" s="255"/>
      <c r="E19" s="102" t="s">
        <v>154</v>
      </c>
      <c r="F19" s="83" t="s">
        <v>20</v>
      </c>
      <c r="G19" s="81">
        <v>0.99</v>
      </c>
      <c r="H19" s="99">
        <f>J19-I19</f>
        <v>84480.99</v>
      </c>
      <c r="I19" s="100">
        <f>$I$12*0.07</f>
        <v>0</v>
      </c>
      <c r="J19" s="103">
        <v>84480.99</v>
      </c>
    </row>
    <row r="20" spans="1:10" ht="20.25" customHeight="1">
      <c r="A20" s="26"/>
      <c r="B20" s="258" t="s">
        <v>31</v>
      </c>
      <c r="C20" s="258"/>
      <c r="D20" s="258"/>
      <c r="E20" s="104" t="s">
        <v>9</v>
      </c>
      <c r="F20" s="84" t="s">
        <v>10</v>
      </c>
      <c r="G20" s="81">
        <v>0.51</v>
      </c>
      <c r="H20" s="99">
        <f>ROUND(G20*$E$3*12,2)</f>
        <v>40966.67</v>
      </c>
      <c r="I20" s="100">
        <f>$I$12*0.04</f>
        <v>0</v>
      </c>
      <c r="J20" s="101">
        <f>SUM(H20:I20)</f>
        <v>40966.67</v>
      </c>
    </row>
    <row r="21" spans="1:10" ht="65.25" customHeight="1">
      <c r="A21" s="23"/>
      <c r="B21" s="255" t="s">
        <v>27</v>
      </c>
      <c r="C21" s="255"/>
      <c r="D21" s="255"/>
      <c r="E21" s="102" t="s">
        <v>155</v>
      </c>
      <c r="F21" s="83" t="s">
        <v>25</v>
      </c>
      <c r="G21" s="81">
        <v>0.12</v>
      </c>
      <c r="H21" s="99">
        <f>J21-I21</f>
        <v>10005.98</v>
      </c>
      <c r="I21" s="100">
        <f>$I$12*0.01</f>
        <v>0</v>
      </c>
      <c r="J21" s="103">
        <v>10005.98</v>
      </c>
    </row>
    <row r="22" spans="1:10" ht="20.25" customHeight="1">
      <c r="A22" s="26"/>
      <c r="B22" s="255" t="s">
        <v>11</v>
      </c>
      <c r="C22" s="255"/>
      <c r="D22" s="255"/>
      <c r="E22" s="102" t="s">
        <v>9</v>
      </c>
      <c r="F22" s="83" t="s">
        <v>12</v>
      </c>
      <c r="G22" s="81">
        <v>2.22</v>
      </c>
      <c r="H22" s="99">
        <f>J22-I22</f>
        <v>178325.496</v>
      </c>
      <c r="I22" s="100">
        <f>$I$12*0.15</f>
        <v>0</v>
      </c>
      <c r="J22" s="103">
        <f>G22*E3*12</f>
        <v>178325.496</v>
      </c>
    </row>
    <row r="23" spans="1:10" ht="31.5" customHeight="1">
      <c r="A23" s="26"/>
      <c r="B23" s="255" t="s">
        <v>26</v>
      </c>
      <c r="C23" s="251"/>
      <c r="D23" s="251"/>
      <c r="E23" s="105" t="s">
        <v>13</v>
      </c>
      <c r="F23" s="77" t="s">
        <v>14</v>
      </c>
      <c r="G23" s="81">
        <v>0.05</v>
      </c>
      <c r="H23" s="99">
        <f>J23-I23</f>
        <v>4123.08</v>
      </c>
      <c r="I23" s="100">
        <f>$I$12*0.003</f>
        <v>0</v>
      </c>
      <c r="J23" s="103">
        <v>4123.08</v>
      </c>
    </row>
    <row r="24" spans="1:10" ht="28.5" customHeight="1">
      <c r="A24" s="23"/>
      <c r="B24" s="255" t="s">
        <v>71</v>
      </c>
      <c r="C24" s="255"/>
      <c r="D24" s="255"/>
      <c r="E24" s="98" t="s">
        <v>35</v>
      </c>
      <c r="F24" s="46" t="s">
        <v>82</v>
      </c>
      <c r="G24" s="81">
        <v>2.15</v>
      </c>
      <c r="H24" s="99">
        <f aca="true" t="shared" si="0" ref="H24:H29">ROUND(G24*$E$3*12,2)</f>
        <v>172702.62</v>
      </c>
      <c r="I24" s="100">
        <f>$I$12*0.19</f>
        <v>0</v>
      </c>
      <c r="J24" s="101">
        <f aca="true" t="shared" si="1" ref="J24:J29">SUM(H24:I24)</f>
        <v>172702.62</v>
      </c>
    </row>
    <row r="25" spans="1:10" ht="26.25" customHeight="1">
      <c r="A25" s="23"/>
      <c r="B25" s="256" t="s">
        <v>15</v>
      </c>
      <c r="C25" s="256"/>
      <c r="D25" s="256"/>
      <c r="E25" s="98" t="s">
        <v>35</v>
      </c>
      <c r="F25" s="46" t="s">
        <v>82</v>
      </c>
      <c r="G25" s="81">
        <v>0.53</v>
      </c>
      <c r="H25" s="106">
        <f t="shared" si="0"/>
        <v>42573.2</v>
      </c>
      <c r="I25" s="100">
        <v>0</v>
      </c>
      <c r="J25" s="101">
        <f t="shared" si="1"/>
        <v>42573.2</v>
      </c>
    </row>
    <row r="26" spans="1:10" ht="30" customHeight="1">
      <c r="A26" s="23"/>
      <c r="B26" s="257" t="s">
        <v>36</v>
      </c>
      <c r="C26" s="246"/>
      <c r="D26" s="247"/>
      <c r="E26" s="98" t="s">
        <v>35</v>
      </c>
      <c r="F26" s="46" t="s">
        <v>82</v>
      </c>
      <c r="G26" s="48">
        <f>3.52-G27-G28</f>
        <v>2.94</v>
      </c>
      <c r="H26" s="106">
        <f t="shared" si="0"/>
        <v>236160.79</v>
      </c>
      <c r="I26" s="107">
        <f>$I$12*0.18</f>
        <v>0</v>
      </c>
      <c r="J26" s="101">
        <f t="shared" si="1"/>
        <v>236160.79</v>
      </c>
    </row>
    <row r="27" spans="1:10" ht="26.25" customHeight="1">
      <c r="A27" s="26"/>
      <c r="B27" s="255" t="s">
        <v>156</v>
      </c>
      <c r="C27" s="255"/>
      <c r="D27" s="255"/>
      <c r="E27" s="98" t="s">
        <v>35</v>
      </c>
      <c r="F27" s="46" t="s">
        <v>82</v>
      </c>
      <c r="G27" s="48">
        <v>0.29</v>
      </c>
      <c r="H27" s="106">
        <f t="shared" si="0"/>
        <v>23294.77</v>
      </c>
      <c r="I27" s="107">
        <f>$I$12*0.02</f>
        <v>0</v>
      </c>
      <c r="J27" s="101">
        <f t="shared" si="1"/>
        <v>23294.77</v>
      </c>
    </row>
    <row r="28" spans="1:10" ht="28.5" customHeight="1">
      <c r="A28" s="23"/>
      <c r="B28" s="255" t="s">
        <v>157</v>
      </c>
      <c r="C28" s="255"/>
      <c r="D28" s="255"/>
      <c r="E28" s="102" t="s">
        <v>9</v>
      </c>
      <c r="F28" s="46" t="s">
        <v>82</v>
      </c>
      <c r="G28" s="48">
        <v>0.29</v>
      </c>
      <c r="H28" s="106">
        <f t="shared" si="0"/>
        <v>23294.77</v>
      </c>
      <c r="I28" s="107">
        <v>0</v>
      </c>
      <c r="J28" s="101">
        <f t="shared" si="1"/>
        <v>23294.77</v>
      </c>
    </row>
    <row r="29" spans="1:10" ht="27" customHeight="1">
      <c r="A29" s="23"/>
      <c r="B29" s="251" t="s">
        <v>21</v>
      </c>
      <c r="C29" s="251"/>
      <c r="D29" s="251"/>
      <c r="E29" s="102" t="s">
        <v>35</v>
      </c>
      <c r="F29" s="46" t="s">
        <v>82</v>
      </c>
      <c r="G29" s="77">
        <v>1.45</v>
      </c>
      <c r="H29" s="99">
        <f t="shared" si="0"/>
        <v>116473.86</v>
      </c>
      <c r="I29" s="100">
        <f>$I$12*0.1</f>
        <v>0</v>
      </c>
      <c r="J29" s="101">
        <f t="shared" si="1"/>
        <v>116473.86</v>
      </c>
    </row>
    <row r="30" spans="1:10" ht="15.75">
      <c r="A30" s="23"/>
      <c r="B30" s="245"/>
      <c r="C30" s="246"/>
      <c r="D30" s="247"/>
      <c r="E30" s="102"/>
      <c r="F30" s="46"/>
      <c r="G30" s="77"/>
      <c r="H30" s="106"/>
      <c r="I30" s="95"/>
      <c r="J30" s="108"/>
    </row>
    <row r="31" spans="1:10" ht="15.75">
      <c r="A31" s="23"/>
      <c r="B31" s="245"/>
      <c r="C31" s="246"/>
      <c r="D31" s="247"/>
      <c r="E31" s="102"/>
      <c r="F31" s="46"/>
      <c r="G31" s="77"/>
      <c r="H31" s="106"/>
      <c r="I31" s="95"/>
      <c r="J31" s="108"/>
    </row>
    <row r="32" spans="1:10" ht="15.75">
      <c r="A32" s="23"/>
      <c r="B32" s="229" t="s">
        <v>30</v>
      </c>
      <c r="C32" s="229"/>
      <c r="D32" s="229"/>
      <c r="E32" s="14"/>
      <c r="F32" s="46"/>
      <c r="G32" s="21">
        <f>SUM(G17:G29)</f>
        <v>13.039999999999996</v>
      </c>
      <c r="H32" s="40">
        <f>SUM(H17:H31)</f>
        <v>1052892.4260000002</v>
      </c>
      <c r="I32" s="109">
        <f>SUM(I17:I31)</f>
        <v>0</v>
      </c>
      <c r="J32" s="40">
        <f>SUM(J17:J31)</f>
        <v>1052892.4260000002</v>
      </c>
    </row>
    <row r="33" spans="1:10" ht="15.75">
      <c r="A33" s="23"/>
      <c r="B33" s="252" t="s">
        <v>158</v>
      </c>
      <c r="C33" s="253"/>
      <c r="D33" s="254"/>
      <c r="E33" s="102" t="s">
        <v>9</v>
      </c>
      <c r="F33" s="46"/>
      <c r="G33" s="21"/>
      <c r="H33" s="40"/>
      <c r="I33" s="109"/>
      <c r="J33" s="40"/>
    </row>
    <row r="34" spans="1:10" ht="25.5">
      <c r="A34" s="23"/>
      <c r="B34" s="252" t="s">
        <v>159</v>
      </c>
      <c r="C34" s="253"/>
      <c r="D34" s="254"/>
      <c r="E34" s="98" t="s">
        <v>35</v>
      </c>
      <c r="F34" s="46"/>
      <c r="G34" s="21"/>
      <c r="H34" s="40"/>
      <c r="I34" s="109"/>
      <c r="J34" s="40"/>
    </row>
    <row r="35" spans="1:10" ht="15.75">
      <c r="A35" s="23"/>
      <c r="B35" s="126"/>
      <c r="C35" s="127"/>
      <c r="D35" s="127"/>
      <c r="E35" s="128"/>
      <c r="F35" s="46"/>
      <c r="G35" s="21"/>
      <c r="H35" s="40"/>
      <c r="I35" s="109"/>
      <c r="J35" s="40"/>
    </row>
    <row r="36" spans="1:10" ht="15" customHeight="1">
      <c r="A36" s="23" t="s">
        <v>160</v>
      </c>
      <c r="B36" s="248" t="s">
        <v>161</v>
      </c>
      <c r="C36" s="249"/>
      <c r="D36" s="249"/>
      <c r="E36" s="250"/>
      <c r="F36" s="46" t="s">
        <v>82</v>
      </c>
      <c r="G36" s="24">
        <f>H36/E3/12</f>
        <v>2.656447163337765</v>
      </c>
      <c r="H36" s="28">
        <v>213383.9</v>
      </c>
      <c r="I36" s="110">
        <v>0</v>
      </c>
      <c r="J36" s="96">
        <f>SUM(H36:I36)</f>
        <v>213383.9</v>
      </c>
    </row>
    <row r="37" spans="1:10" ht="14.25" customHeight="1">
      <c r="A37" s="25"/>
      <c r="B37" s="240" t="s">
        <v>69</v>
      </c>
      <c r="C37" s="240"/>
      <c r="D37" s="240"/>
      <c r="E37" s="240"/>
      <c r="F37" s="240"/>
      <c r="G37" s="5">
        <f>SUM(G32:G36)</f>
        <v>15.69644716333776</v>
      </c>
      <c r="H37" s="41">
        <f>SUM(H32:H36)</f>
        <v>1266276.3260000001</v>
      </c>
      <c r="I37" s="111">
        <f>SUM(I32:I36)</f>
        <v>0</v>
      </c>
      <c r="J37" s="41">
        <f>SUM(J32:J36)</f>
        <v>1266276.3260000001</v>
      </c>
    </row>
    <row r="38" spans="1:10" ht="15.75">
      <c r="A38" s="23" t="s">
        <v>162</v>
      </c>
      <c r="B38" s="241" t="s">
        <v>163</v>
      </c>
      <c r="C38" s="241"/>
      <c r="D38" s="241"/>
      <c r="E38" s="241"/>
      <c r="F38" s="241"/>
      <c r="G38" s="112"/>
      <c r="H38" s="113">
        <v>0</v>
      </c>
      <c r="I38" s="113">
        <v>0</v>
      </c>
      <c r="J38" s="114">
        <f>SUM(H38:I38)</f>
        <v>0</v>
      </c>
    </row>
    <row r="39" spans="1:10" ht="15" customHeight="1">
      <c r="A39" s="25"/>
      <c r="B39" s="240" t="s">
        <v>164</v>
      </c>
      <c r="C39" s="240"/>
      <c r="D39" s="240"/>
      <c r="E39" s="240"/>
      <c r="F39" s="240"/>
      <c r="G39" s="5">
        <f>SUM(G37:G38)</f>
        <v>15.69644716333776</v>
      </c>
      <c r="H39" s="41">
        <f>SUM(H37:H38)</f>
        <v>1266276.3260000001</v>
      </c>
      <c r="I39" s="111">
        <f>SUM(I37:I38)</f>
        <v>0</v>
      </c>
      <c r="J39" s="41">
        <f>SUM(J37:J38)</f>
        <v>1266276.3260000001</v>
      </c>
    </row>
    <row r="40" spans="1:10" ht="15.75" customHeight="1">
      <c r="A40" s="23">
        <v>3</v>
      </c>
      <c r="B40" s="242" t="s">
        <v>206</v>
      </c>
      <c r="C40" s="243"/>
      <c r="D40" s="243"/>
      <c r="E40" s="243"/>
      <c r="F40" s="243"/>
      <c r="G40" s="244"/>
      <c r="H40" s="115">
        <f>H14-H39</f>
        <v>-86466.456</v>
      </c>
      <c r="I40" s="99">
        <f>I14-I39</f>
        <v>0</v>
      </c>
      <c r="J40" s="116">
        <f>J14-J39</f>
        <v>-86466.456</v>
      </c>
    </row>
    <row r="41" spans="2:6" ht="15.75">
      <c r="B41" s="34"/>
      <c r="F41" s="34"/>
    </row>
    <row r="42" spans="2:6" ht="15.75">
      <c r="B42" s="43" t="s">
        <v>78</v>
      </c>
      <c r="C42" s="43"/>
      <c r="D42" s="43"/>
      <c r="E42" s="34"/>
      <c r="F42" s="34"/>
    </row>
    <row r="43" spans="2:4" ht="15.75">
      <c r="B43" s="43"/>
      <c r="C43" s="43"/>
      <c r="D43" s="43"/>
    </row>
    <row r="44" spans="2:4" ht="15.75">
      <c r="B44" s="34" t="s">
        <v>205</v>
      </c>
      <c r="C44" s="47"/>
      <c r="D44" s="44"/>
    </row>
    <row r="45" spans="2:4" ht="15.75">
      <c r="B45" s="206" t="s">
        <v>87</v>
      </c>
      <c r="C45" s="206"/>
      <c r="D45" s="206"/>
    </row>
  </sheetData>
  <sheetProtection/>
  <mergeCells count="36">
    <mergeCell ref="A1:J1"/>
    <mergeCell ref="A2:J2"/>
    <mergeCell ref="B7:D7"/>
    <mergeCell ref="H7:J7"/>
    <mergeCell ref="B14:F14"/>
    <mergeCell ref="B15:F15"/>
    <mergeCell ref="B8:F8"/>
    <mergeCell ref="B9:F9"/>
    <mergeCell ref="B10:F10"/>
    <mergeCell ref="B11:F11"/>
    <mergeCell ref="B12:F12"/>
    <mergeCell ref="B13:F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6:E36"/>
    <mergeCell ref="B37:F37"/>
    <mergeCell ref="B33:D33"/>
    <mergeCell ref="B34:D34"/>
    <mergeCell ref="B38:F38"/>
    <mergeCell ref="B39:F39"/>
    <mergeCell ref="B40:G40"/>
    <mergeCell ref="B45:D45"/>
  </mergeCells>
  <printOptions/>
  <pageMargins left="0" right="0" top="0" bottom="0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4.25390625" style="0" customWidth="1"/>
    <col min="6" max="6" width="18.00390625" style="0" hidden="1" customWidth="1"/>
    <col min="7" max="7" width="6.50390625" style="0" hidden="1" customWidth="1"/>
    <col min="8" max="8" width="10.875" style="0" customWidth="1"/>
    <col min="9" max="9" width="9.875" style="0" bestFit="1" customWidth="1"/>
  </cols>
  <sheetData>
    <row r="1" spans="1:8" ht="121.5" customHeight="1">
      <c r="A1" s="224" t="s">
        <v>210</v>
      </c>
      <c r="B1" s="224"/>
      <c r="C1" s="224"/>
      <c r="D1" s="224"/>
      <c r="E1" s="224"/>
      <c r="F1" s="224"/>
      <c r="G1" s="224"/>
      <c r="H1" s="224"/>
    </row>
    <row r="2" spans="1:6" ht="18.75">
      <c r="A2" s="1" t="s">
        <v>77</v>
      </c>
      <c r="B2" s="1" t="s">
        <v>84</v>
      </c>
      <c r="C2" s="2"/>
      <c r="D2" s="2" t="s">
        <v>0</v>
      </c>
      <c r="E2" s="4">
        <v>6693.9</v>
      </c>
      <c r="F2" s="2"/>
    </row>
    <row r="3" spans="2:6" ht="15.75">
      <c r="B3" s="3" t="s">
        <v>1</v>
      </c>
      <c r="C3" s="27">
        <v>9</v>
      </c>
      <c r="D3" s="2" t="s">
        <v>2</v>
      </c>
      <c r="E3" s="4">
        <v>127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85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" customHeight="1">
      <c r="A6" s="117" t="s">
        <v>60</v>
      </c>
      <c r="B6" s="271" t="s">
        <v>142</v>
      </c>
      <c r="C6" s="272"/>
      <c r="D6" s="273"/>
      <c r="E6" s="73" t="s">
        <v>6</v>
      </c>
      <c r="F6" s="73" t="s">
        <v>7</v>
      </c>
      <c r="G6" s="118" t="s">
        <v>190</v>
      </c>
      <c r="H6" s="119" t="s">
        <v>134</v>
      </c>
    </row>
    <row r="7" spans="1:8" ht="15.75" customHeight="1">
      <c r="A7" s="74">
        <v>1</v>
      </c>
      <c r="B7" s="274" t="s">
        <v>135</v>
      </c>
      <c r="C7" s="274"/>
      <c r="D7" s="274"/>
      <c r="E7" s="274"/>
      <c r="F7" s="274"/>
      <c r="G7" s="75"/>
      <c r="H7" s="76"/>
    </row>
    <row r="8" spans="1:8" ht="15.75" customHeight="1">
      <c r="A8" s="74"/>
      <c r="B8" s="192" t="s">
        <v>191</v>
      </c>
      <c r="C8" s="192"/>
      <c r="D8" s="192"/>
      <c r="E8" s="192"/>
      <c r="F8" s="192"/>
      <c r="G8" s="24">
        <f>G31</f>
        <v>14.920000000000002</v>
      </c>
      <c r="H8" s="76">
        <f>ROUND($E$2*G8*12,0)</f>
        <v>1198476</v>
      </c>
    </row>
    <row r="9" spans="1:8" ht="15.75" customHeight="1">
      <c r="A9" s="74"/>
      <c r="B9" s="276" t="s">
        <v>136</v>
      </c>
      <c r="C9" s="276"/>
      <c r="D9" s="276"/>
      <c r="E9" s="276"/>
      <c r="F9" s="276"/>
      <c r="G9" s="23">
        <v>0.78</v>
      </c>
      <c r="H9" s="76">
        <f>ROUND($E$2*G9*12,0)</f>
        <v>62655</v>
      </c>
    </row>
    <row r="10" spans="1:8" ht="15.75" customHeight="1">
      <c r="A10" s="74">
        <v>2</v>
      </c>
      <c r="B10" s="228" t="s">
        <v>65</v>
      </c>
      <c r="C10" s="228"/>
      <c r="D10" s="228"/>
      <c r="E10" s="228"/>
      <c r="F10" s="228"/>
      <c r="G10" s="77"/>
      <c r="H10" s="76"/>
    </row>
    <row r="11" spans="1:8" ht="18.75" customHeight="1">
      <c r="A11" s="74" t="s">
        <v>153</v>
      </c>
      <c r="B11" s="19" t="s">
        <v>66</v>
      </c>
      <c r="C11" s="19"/>
      <c r="D11" s="19"/>
      <c r="E11" s="19"/>
      <c r="F11" s="5"/>
      <c r="G11" s="78"/>
      <c r="H11" s="76"/>
    </row>
    <row r="12" spans="1:8" ht="31.5" customHeight="1">
      <c r="A12" s="79"/>
      <c r="B12" s="275" t="s">
        <v>201</v>
      </c>
      <c r="C12" s="275"/>
      <c r="D12" s="275"/>
      <c r="E12" s="98" t="s">
        <v>32</v>
      </c>
      <c r="F12" s="80" t="s">
        <v>24</v>
      </c>
      <c r="G12" s="81">
        <v>1.26</v>
      </c>
      <c r="H12" s="82">
        <f aca="true" t="shared" si="0" ref="H12:H31">ROUND($E$2*G12*12,0)</f>
        <v>101212</v>
      </c>
    </row>
    <row r="13" spans="1:9" ht="15.75" customHeight="1">
      <c r="A13" s="79"/>
      <c r="B13" s="275" t="s">
        <v>17</v>
      </c>
      <c r="C13" s="275"/>
      <c r="D13" s="275"/>
      <c r="E13" s="98" t="s">
        <v>32</v>
      </c>
      <c r="F13" s="80" t="s">
        <v>19</v>
      </c>
      <c r="G13" s="81">
        <v>0.29</v>
      </c>
      <c r="H13" s="82">
        <f t="shared" si="0"/>
        <v>23295</v>
      </c>
      <c r="I13" s="31"/>
    </row>
    <row r="14" spans="1:8" ht="18.75" customHeight="1">
      <c r="A14" s="79"/>
      <c r="B14" s="277" t="s">
        <v>23</v>
      </c>
      <c r="C14" s="277"/>
      <c r="D14" s="277"/>
      <c r="E14" s="102" t="s">
        <v>154</v>
      </c>
      <c r="F14" s="83" t="s">
        <v>20</v>
      </c>
      <c r="G14" s="81">
        <v>1.02</v>
      </c>
      <c r="H14" s="82">
        <f t="shared" si="0"/>
        <v>81933</v>
      </c>
    </row>
    <row r="15" spans="1:8" ht="15.75" customHeight="1">
      <c r="A15" s="79"/>
      <c r="B15" s="279" t="s">
        <v>31</v>
      </c>
      <c r="C15" s="279"/>
      <c r="D15" s="279"/>
      <c r="E15" s="104" t="s">
        <v>9</v>
      </c>
      <c r="F15" s="84" t="s">
        <v>10</v>
      </c>
      <c r="G15" s="81">
        <v>0.53</v>
      </c>
      <c r="H15" s="82">
        <f t="shared" si="0"/>
        <v>42573</v>
      </c>
    </row>
    <row r="16" spans="1:8" ht="49.5" customHeight="1">
      <c r="A16" s="79"/>
      <c r="B16" s="277" t="s">
        <v>27</v>
      </c>
      <c r="C16" s="277"/>
      <c r="D16" s="277"/>
      <c r="E16" s="102" t="s">
        <v>155</v>
      </c>
      <c r="F16" s="83" t="s">
        <v>25</v>
      </c>
      <c r="G16" s="81">
        <v>0.12</v>
      </c>
      <c r="H16" s="82">
        <f t="shared" si="0"/>
        <v>9639</v>
      </c>
    </row>
    <row r="17" spans="1:8" ht="15.75" customHeight="1">
      <c r="A17" s="79"/>
      <c r="B17" s="277" t="s">
        <v>11</v>
      </c>
      <c r="C17" s="277"/>
      <c r="D17" s="277"/>
      <c r="E17" s="102" t="s">
        <v>9</v>
      </c>
      <c r="F17" s="83" t="s">
        <v>12</v>
      </c>
      <c r="G17" s="81">
        <v>2.29</v>
      </c>
      <c r="H17" s="82">
        <f t="shared" si="0"/>
        <v>183948</v>
      </c>
    </row>
    <row r="18" spans="1:8" ht="15.75" customHeight="1">
      <c r="A18" s="79"/>
      <c r="B18" s="277" t="s">
        <v>26</v>
      </c>
      <c r="C18" s="278"/>
      <c r="D18" s="278"/>
      <c r="E18" s="105" t="s">
        <v>13</v>
      </c>
      <c r="F18" s="77" t="s">
        <v>137</v>
      </c>
      <c r="G18" s="81">
        <v>0.05</v>
      </c>
      <c r="H18" s="82">
        <f t="shared" si="0"/>
        <v>4016</v>
      </c>
    </row>
    <row r="19" spans="1:8" ht="33" customHeight="1">
      <c r="A19" s="79"/>
      <c r="B19" s="277" t="s">
        <v>71</v>
      </c>
      <c r="C19" s="277"/>
      <c r="D19" s="277"/>
      <c r="E19" s="98" t="s">
        <v>35</v>
      </c>
      <c r="F19" s="83" t="s">
        <v>82</v>
      </c>
      <c r="G19" s="81">
        <v>2.21</v>
      </c>
      <c r="H19" s="82">
        <f t="shared" si="0"/>
        <v>177522</v>
      </c>
    </row>
    <row r="20" spans="1:8" ht="24" customHeight="1">
      <c r="A20" s="79"/>
      <c r="B20" s="275" t="s">
        <v>15</v>
      </c>
      <c r="C20" s="275"/>
      <c r="D20" s="275"/>
      <c r="E20" s="98" t="s">
        <v>138</v>
      </c>
      <c r="F20" s="83" t="s">
        <v>82</v>
      </c>
      <c r="G20" s="81">
        <v>0.55</v>
      </c>
      <c r="H20" s="82">
        <f t="shared" si="0"/>
        <v>44180</v>
      </c>
    </row>
    <row r="21" spans="1:8" ht="31.5" customHeight="1">
      <c r="A21" s="79"/>
      <c r="B21" s="277" t="s">
        <v>36</v>
      </c>
      <c r="C21" s="278"/>
      <c r="D21" s="278"/>
      <c r="E21" s="98" t="s">
        <v>35</v>
      </c>
      <c r="F21" s="83" t="s">
        <v>82</v>
      </c>
      <c r="G21" s="81">
        <f>3.62-G22-G23</f>
        <v>3.3200000000000003</v>
      </c>
      <c r="H21" s="82">
        <f t="shared" si="0"/>
        <v>266685</v>
      </c>
    </row>
    <row r="22" spans="1:8" ht="15.75" customHeight="1">
      <c r="A22" s="79"/>
      <c r="B22" s="277" t="s">
        <v>192</v>
      </c>
      <c r="C22" s="277"/>
      <c r="D22" s="277"/>
      <c r="E22" s="102" t="s">
        <v>9</v>
      </c>
      <c r="F22" s="83" t="s">
        <v>82</v>
      </c>
      <c r="G22" s="81">
        <v>0.3</v>
      </c>
      <c r="H22" s="82">
        <f t="shared" si="0"/>
        <v>24098</v>
      </c>
    </row>
    <row r="23" spans="1:8" ht="27.75" customHeight="1">
      <c r="A23" s="79"/>
      <c r="B23" s="277" t="s">
        <v>157</v>
      </c>
      <c r="C23" s="277"/>
      <c r="D23" s="277"/>
      <c r="E23" s="102" t="s">
        <v>9</v>
      </c>
      <c r="F23" s="83" t="s">
        <v>82</v>
      </c>
      <c r="G23" s="81">
        <v>0</v>
      </c>
      <c r="H23" s="82">
        <f t="shared" si="0"/>
        <v>0</v>
      </c>
    </row>
    <row r="24" spans="1:8" ht="25.5">
      <c r="A24" s="79"/>
      <c r="B24" s="278" t="s">
        <v>21</v>
      </c>
      <c r="C24" s="278"/>
      <c r="D24" s="278"/>
      <c r="E24" s="98" t="s">
        <v>35</v>
      </c>
      <c r="F24" s="83" t="s">
        <v>82</v>
      </c>
      <c r="G24" s="81">
        <v>1.49</v>
      </c>
      <c r="H24" s="82">
        <f t="shared" si="0"/>
        <v>119687</v>
      </c>
    </row>
    <row r="25" spans="1:8" ht="21.75" customHeight="1">
      <c r="A25" s="23"/>
      <c r="B25" s="252" t="s">
        <v>158</v>
      </c>
      <c r="C25" s="253"/>
      <c r="D25" s="254"/>
      <c r="E25" s="102" t="s">
        <v>9</v>
      </c>
      <c r="F25" s="83"/>
      <c r="G25" s="81"/>
      <c r="H25" s="82"/>
    </row>
    <row r="26" spans="1:8" ht="26.25" customHeight="1">
      <c r="A26" s="23"/>
      <c r="B26" s="252" t="s">
        <v>159</v>
      </c>
      <c r="C26" s="253"/>
      <c r="D26" s="254"/>
      <c r="E26" s="98" t="s">
        <v>35</v>
      </c>
      <c r="F26" s="83"/>
      <c r="G26" s="81"/>
      <c r="H26" s="82"/>
    </row>
    <row r="27" spans="1:8" ht="15.75" customHeight="1">
      <c r="A27" s="79"/>
      <c r="B27" s="245"/>
      <c r="C27" s="246"/>
      <c r="D27" s="247"/>
      <c r="E27" s="98"/>
      <c r="F27" s="83"/>
      <c r="G27" s="81"/>
      <c r="H27" s="82"/>
    </row>
    <row r="28" spans="1:8" ht="15.75">
      <c r="A28" s="79"/>
      <c r="B28" s="245"/>
      <c r="C28" s="246"/>
      <c r="D28" s="247"/>
      <c r="E28" s="98"/>
      <c r="F28" s="83"/>
      <c r="G28" s="81"/>
      <c r="H28" s="82"/>
    </row>
    <row r="29" spans="1:8" ht="15.75">
      <c r="A29" s="79"/>
      <c r="B29" s="280" t="s">
        <v>30</v>
      </c>
      <c r="C29" s="281"/>
      <c r="D29" s="282"/>
      <c r="E29" s="14"/>
      <c r="F29" s="83"/>
      <c r="G29" s="21">
        <f>SUM(G12:G28)</f>
        <v>13.430000000000001</v>
      </c>
      <c r="H29" s="82">
        <f t="shared" si="0"/>
        <v>1078789</v>
      </c>
    </row>
    <row r="30" spans="1:8" ht="15.75">
      <c r="A30" s="74" t="s">
        <v>160</v>
      </c>
      <c r="B30" s="248" t="s">
        <v>193</v>
      </c>
      <c r="C30" s="249"/>
      <c r="D30" s="249"/>
      <c r="E30" s="250"/>
      <c r="F30" s="51" t="s">
        <v>139</v>
      </c>
      <c r="G30" s="24">
        <v>1.49</v>
      </c>
      <c r="H30" s="82">
        <v>664000</v>
      </c>
    </row>
    <row r="31" spans="1:8" ht="15.75" customHeight="1">
      <c r="A31" s="74"/>
      <c r="B31" s="267" t="s">
        <v>194</v>
      </c>
      <c r="C31" s="267"/>
      <c r="D31" s="267"/>
      <c r="E31" s="267"/>
      <c r="F31" s="267"/>
      <c r="G31" s="21">
        <f>SUM(G29:G30)</f>
        <v>14.920000000000002</v>
      </c>
      <c r="H31" s="120">
        <f t="shared" si="0"/>
        <v>1198476</v>
      </c>
    </row>
    <row r="32" spans="1:8" ht="16.5" thickBot="1">
      <c r="A32" s="121">
        <v>3</v>
      </c>
      <c r="B32" s="268" t="s">
        <v>207</v>
      </c>
      <c r="C32" s="269"/>
      <c r="D32" s="270"/>
      <c r="E32" s="122"/>
      <c r="F32" s="123" t="s">
        <v>139</v>
      </c>
      <c r="G32" s="124">
        <v>0</v>
      </c>
      <c r="H32" s="125">
        <v>0</v>
      </c>
    </row>
    <row r="33" spans="2:7" ht="52.5" customHeight="1">
      <c r="B33" s="283" t="s">
        <v>208</v>
      </c>
      <c r="C33" s="283"/>
      <c r="D33" s="283"/>
      <c r="E33" s="283"/>
      <c r="F33" s="85"/>
      <c r="G33" s="86"/>
    </row>
    <row r="34" spans="2:7" ht="15.75" customHeight="1">
      <c r="B34" s="129"/>
      <c r="C34" s="129"/>
      <c r="D34" s="129"/>
      <c r="E34" s="129"/>
      <c r="F34" s="85"/>
      <c r="G34" s="86"/>
    </row>
    <row r="35" spans="1:8" ht="15.75">
      <c r="A35" s="34" t="s">
        <v>78</v>
      </c>
      <c r="B35" s="34"/>
      <c r="C35" s="34"/>
      <c r="D35" s="34"/>
      <c r="E35" s="34"/>
      <c r="F35" s="34"/>
      <c r="G35" s="34"/>
      <c r="H35" s="86"/>
    </row>
  </sheetData>
  <sheetProtection/>
  <mergeCells count="28">
    <mergeCell ref="B16:D16"/>
    <mergeCell ref="B17:D17"/>
    <mergeCell ref="A1:H1"/>
    <mergeCell ref="B6:D6"/>
    <mergeCell ref="B7:F7"/>
    <mergeCell ref="B8:F8"/>
    <mergeCell ref="B9:F9"/>
    <mergeCell ref="B10:F10"/>
    <mergeCell ref="B12:D12"/>
    <mergeCell ref="B13:D13"/>
    <mergeCell ref="B14:D14"/>
    <mergeCell ref="B15:D15"/>
    <mergeCell ref="B28:D28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3:E33"/>
    <mergeCell ref="B30:E30"/>
    <mergeCell ref="B31:F31"/>
    <mergeCell ref="B32:D32"/>
  </mergeCells>
  <printOptions/>
  <pageMargins left="0.35433070866141736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23">
      <selection activeCell="G19" sqref="G19:G31"/>
    </sheetView>
  </sheetViews>
  <sheetFormatPr defaultColWidth="9.00390625" defaultRowHeight="15.75"/>
  <cols>
    <col min="1" max="1" width="7.75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7.00390625" style="0" customWidth="1"/>
    <col min="6" max="6" width="22.50390625" style="0" hidden="1" customWidth="1"/>
    <col min="7" max="7" width="10.625" style="0" customWidth="1"/>
    <col min="8" max="8" width="12.375" style="0" customWidth="1"/>
  </cols>
  <sheetData>
    <row r="1" spans="3:8" ht="71.25" customHeight="1">
      <c r="C1" s="291" t="s">
        <v>211</v>
      </c>
      <c r="D1" s="291"/>
      <c r="E1" s="291"/>
      <c r="F1" s="291"/>
      <c r="G1" s="291"/>
      <c r="H1" s="291"/>
    </row>
    <row r="4" spans="1:8" ht="20.25">
      <c r="A4" s="224" t="s">
        <v>212</v>
      </c>
      <c r="B4" s="224"/>
      <c r="C4" s="224"/>
      <c r="D4" s="224"/>
      <c r="E4" s="224"/>
      <c r="F4" s="224"/>
      <c r="G4" s="224"/>
      <c r="H4" s="224"/>
    </row>
    <row r="5" spans="1:6" ht="19.5">
      <c r="A5" s="131"/>
      <c r="B5" s="131"/>
      <c r="C5" s="131"/>
      <c r="D5" s="131"/>
      <c r="E5" s="131"/>
      <c r="F5" s="131"/>
    </row>
    <row r="6" spans="2:7" ht="19.5" customHeight="1">
      <c r="B6" s="292" t="s">
        <v>231</v>
      </c>
      <c r="C6" s="292"/>
      <c r="D6" s="292"/>
      <c r="E6" s="292"/>
      <c r="F6" s="292"/>
      <c r="G6" s="292"/>
    </row>
    <row r="8" spans="1:6" ht="18.75">
      <c r="A8" s="1" t="s">
        <v>77</v>
      </c>
      <c r="B8" s="1" t="s">
        <v>84</v>
      </c>
      <c r="C8" s="2"/>
      <c r="D8" s="2" t="s">
        <v>0</v>
      </c>
      <c r="E8" s="4">
        <v>6691.5</v>
      </c>
      <c r="F8" s="2"/>
    </row>
    <row r="9" spans="2:6" ht="15.75">
      <c r="B9" s="3" t="s">
        <v>1</v>
      </c>
      <c r="C9" s="27">
        <v>9</v>
      </c>
      <c r="D9" s="2" t="s">
        <v>2</v>
      </c>
      <c r="E9" s="4">
        <v>127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85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117" t="s">
        <v>60</v>
      </c>
      <c r="B12" s="271" t="s">
        <v>142</v>
      </c>
      <c r="C12" s="272"/>
      <c r="D12" s="273"/>
      <c r="E12" s="73" t="s">
        <v>6</v>
      </c>
      <c r="F12" s="73" t="s">
        <v>7</v>
      </c>
      <c r="G12" s="134" t="s">
        <v>229</v>
      </c>
      <c r="H12" s="135" t="s">
        <v>230</v>
      </c>
    </row>
    <row r="13" spans="1:8" ht="25.5">
      <c r="A13" s="132">
        <v>1</v>
      </c>
      <c r="B13" s="261">
        <v>2</v>
      </c>
      <c r="C13" s="262"/>
      <c r="D13" s="293"/>
      <c r="E13" s="136">
        <v>3</v>
      </c>
      <c r="F13" s="133"/>
      <c r="G13" s="137">
        <v>4</v>
      </c>
      <c r="H13" s="138" t="s">
        <v>228</v>
      </c>
    </row>
    <row r="14" spans="1:8" ht="15.75" customHeight="1" hidden="1">
      <c r="A14" s="74">
        <v>1</v>
      </c>
      <c r="B14" s="274" t="s">
        <v>135</v>
      </c>
      <c r="C14" s="274"/>
      <c r="D14" s="274"/>
      <c r="E14" s="274"/>
      <c r="F14" s="274"/>
      <c r="G14" s="75"/>
      <c r="H14" s="76"/>
    </row>
    <row r="15" spans="1:8" ht="15.75" customHeight="1" hidden="1">
      <c r="A15" s="74"/>
      <c r="B15" s="192" t="s">
        <v>191</v>
      </c>
      <c r="C15" s="192"/>
      <c r="D15" s="192"/>
      <c r="E15" s="192"/>
      <c r="F15" s="192"/>
      <c r="G15" s="24">
        <f>G36</f>
        <v>15.36</v>
      </c>
      <c r="H15" s="76">
        <f>ROUND($E$8*G15*12,0)</f>
        <v>1233377</v>
      </c>
    </row>
    <row r="16" spans="1:8" ht="15.75" customHeight="1" hidden="1">
      <c r="A16" s="74"/>
      <c r="B16" s="276" t="s">
        <v>136</v>
      </c>
      <c r="C16" s="276"/>
      <c r="D16" s="276"/>
      <c r="E16" s="276"/>
      <c r="F16" s="276"/>
      <c r="G16" s="23">
        <v>0.78</v>
      </c>
      <c r="H16" s="76">
        <f>ROUND($E$8*G16*12,0)</f>
        <v>62632</v>
      </c>
    </row>
    <row r="17" spans="1:8" ht="18.75">
      <c r="A17" s="74" t="s">
        <v>96</v>
      </c>
      <c r="B17" s="228" t="s">
        <v>65</v>
      </c>
      <c r="C17" s="228"/>
      <c r="D17" s="228"/>
      <c r="E17" s="228"/>
      <c r="F17" s="228"/>
      <c r="G17" s="77"/>
      <c r="H17" s="76"/>
    </row>
    <row r="18" spans="1:8" ht="18.75" customHeight="1">
      <c r="A18" s="140" t="s">
        <v>213</v>
      </c>
      <c r="B18" s="19" t="s">
        <v>66</v>
      </c>
      <c r="C18" s="19"/>
      <c r="D18" s="19"/>
      <c r="E18" s="19"/>
      <c r="F18" s="5"/>
      <c r="G18" s="78"/>
      <c r="H18" s="76"/>
    </row>
    <row r="19" spans="1:8" ht="31.5" customHeight="1">
      <c r="A19" s="79"/>
      <c r="B19" s="275" t="s">
        <v>201</v>
      </c>
      <c r="C19" s="275"/>
      <c r="D19" s="275"/>
      <c r="E19" s="98" t="s">
        <v>32</v>
      </c>
      <c r="F19" s="80" t="s">
        <v>24</v>
      </c>
      <c r="G19" s="81">
        <v>1.29</v>
      </c>
      <c r="H19" s="82">
        <f aca="true" t="shared" si="0" ref="H19:H31">ROUND($E$8*G19*6,0)</f>
        <v>51792</v>
      </c>
    </row>
    <row r="20" spans="1:8" ht="15.75" customHeight="1">
      <c r="A20" s="79"/>
      <c r="B20" s="275" t="s">
        <v>17</v>
      </c>
      <c r="C20" s="275"/>
      <c r="D20" s="275"/>
      <c r="E20" s="98" t="s">
        <v>32</v>
      </c>
      <c r="F20" s="80" t="s">
        <v>19</v>
      </c>
      <c r="G20" s="81">
        <v>0.3</v>
      </c>
      <c r="H20" s="82">
        <f t="shared" si="0"/>
        <v>12045</v>
      </c>
    </row>
    <row r="21" spans="1:8" ht="18.75" customHeight="1">
      <c r="A21" s="79"/>
      <c r="B21" s="277" t="s">
        <v>23</v>
      </c>
      <c r="C21" s="277"/>
      <c r="D21" s="277"/>
      <c r="E21" s="102" t="s">
        <v>154</v>
      </c>
      <c r="F21" s="83" t="s">
        <v>20</v>
      </c>
      <c r="G21" s="81">
        <v>1.05</v>
      </c>
      <c r="H21" s="82">
        <f t="shared" si="0"/>
        <v>42156</v>
      </c>
    </row>
    <row r="22" spans="1:8" ht="15.75" customHeight="1">
      <c r="A22" s="79"/>
      <c r="B22" s="279" t="s">
        <v>31</v>
      </c>
      <c r="C22" s="279"/>
      <c r="D22" s="279"/>
      <c r="E22" s="104" t="s">
        <v>9</v>
      </c>
      <c r="F22" s="84" t="s">
        <v>10</v>
      </c>
      <c r="G22" s="81">
        <v>0.54</v>
      </c>
      <c r="H22" s="82">
        <f t="shared" si="0"/>
        <v>21680</v>
      </c>
    </row>
    <row r="23" spans="1:8" ht="49.5" customHeight="1">
      <c r="A23" s="79"/>
      <c r="B23" s="277" t="s">
        <v>27</v>
      </c>
      <c r="C23" s="277"/>
      <c r="D23" s="277"/>
      <c r="E23" s="102" t="s">
        <v>155</v>
      </c>
      <c r="F23" s="83" t="s">
        <v>25</v>
      </c>
      <c r="G23" s="81">
        <v>0.13</v>
      </c>
      <c r="H23" s="82">
        <f t="shared" si="0"/>
        <v>5219</v>
      </c>
    </row>
    <row r="24" spans="1:8" ht="30.75" customHeight="1">
      <c r="A24" s="79"/>
      <c r="B24" s="277" t="s">
        <v>11</v>
      </c>
      <c r="C24" s="277"/>
      <c r="D24" s="277"/>
      <c r="E24" s="102" t="s">
        <v>9</v>
      </c>
      <c r="F24" s="83" t="s">
        <v>12</v>
      </c>
      <c r="G24" s="81">
        <v>2.35</v>
      </c>
      <c r="H24" s="82">
        <f t="shared" si="0"/>
        <v>94350</v>
      </c>
    </row>
    <row r="25" spans="1:8" ht="15.75" customHeight="1">
      <c r="A25" s="79"/>
      <c r="B25" s="277" t="s">
        <v>26</v>
      </c>
      <c r="C25" s="278"/>
      <c r="D25" s="278"/>
      <c r="E25" s="105" t="s">
        <v>13</v>
      </c>
      <c r="F25" s="77" t="s">
        <v>137</v>
      </c>
      <c r="G25" s="81">
        <v>0.05</v>
      </c>
      <c r="H25" s="82">
        <f t="shared" si="0"/>
        <v>2007</v>
      </c>
    </row>
    <row r="26" spans="1:8" ht="51">
      <c r="A26" s="79"/>
      <c r="B26" s="277" t="s">
        <v>71</v>
      </c>
      <c r="C26" s="277"/>
      <c r="D26" s="277"/>
      <c r="E26" s="98" t="s">
        <v>224</v>
      </c>
      <c r="F26" s="83" t="s">
        <v>82</v>
      </c>
      <c r="G26" s="81">
        <v>1.63</v>
      </c>
      <c r="H26" s="82">
        <f t="shared" si="0"/>
        <v>65443</v>
      </c>
    </row>
    <row r="27" spans="1:8" ht="51">
      <c r="A27" s="79"/>
      <c r="B27" s="275" t="s">
        <v>15</v>
      </c>
      <c r="C27" s="275"/>
      <c r="D27" s="275"/>
      <c r="E27" s="98" t="s">
        <v>138</v>
      </c>
      <c r="F27" s="83" t="s">
        <v>82</v>
      </c>
      <c r="G27" s="81">
        <v>0.56</v>
      </c>
      <c r="H27" s="82">
        <f>ROUND($E$8*G27*6,0)</f>
        <v>22483</v>
      </c>
    </row>
    <row r="28" spans="1:8" ht="31.5" customHeight="1">
      <c r="A28" s="79"/>
      <c r="B28" s="277" t="s">
        <v>36</v>
      </c>
      <c r="C28" s="278"/>
      <c r="D28" s="278"/>
      <c r="E28" s="98" t="s">
        <v>35</v>
      </c>
      <c r="F28" s="83" t="s">
        <v>82</v>
      </c>
      <c r="G28" s="81">
        <f>4.38-G29-G30</f>
        <v>4.07</v>
      </c>
      <c r="H28" s="82">
        <f t="shared" si="0"/>
        <v>163406</v>
      </c>
    </row>
    <row r="29" spans="1:8" ht="15.75">
      <c r="A29" s="79"/>
      <c r="B29" s="277" t="s">
        <v>192</v>
      </c>
      <c r="C29" s="277"/>
      <c r="D29" s="277"/>
      <c r="E29" s="102" t="s">
        <v>9</v>
      </c>
      <c r="F29" s="83" t="s">
        <v>82</v>
      </c>
      <c r="G29" s="81">
        <v>0.31</v>
      </c>
      <c r="H29" s="82">
        <f t="shared" si="0"/>
        <v>12446</v>
      </c>
    </row>
    <row r="30" spans="1:8" ht="15.75">
      <c r="A30" s="79"/>
      <c r="B30" s="277" t="s">
        <v>157</v>
      </c>
      <c r="C30" s="277"/>
      <c r="D30" s="277"/>
      <c r="E30" s="102" t="s">
        <v>9</v>
      </c>
      <c r="F30" s="83" t="s">
        <v>82</v>
      </c>
      <c r="G30" s="141">
        <v>0</v>
      </c>
      <c r="H30" s="82">
        <f t="shared" si="0"/>
        <v>0</v>
      </c>
    </row>
    <row r="31" spans="1:8" ht="25.5">
      <c r="A31" s="79"/>
      <c r="B31" s="278" t="s">
        <v>21</v>
      </c>
      <c r="C31" s="278"/>
      <c r="D31" s="278"/>
      <c r="E31" s="98" t="s">
        <v>35</v>
      </c>
      <c r="F31" s="83" t="s">
        <v>82</v>
      </c>
      <c r="G31" s="81">
        <v>1.54</v>
      </c>
      <c r="H31" s="82">
        <f t="shared" si="0"/>
        <v>61829</v>
      </c>
    </row>
    <row r="32" spans="1:8" ht="21.75" customHeight="1" hidden="1">
      <c r="A32" s="23"/>
      <c r="B32" s="252" t="s">
        <v>158</v>
      </c>
      <c r="C32" s="253"/>
      <c r="D32" s="254"/>
      <c r="E32" s="102" t="s">
        <v>9</v>
      </c>
      <c r="F32" s="83"/>
      <c r="G32" s="81"/>
      <c r="H32" s="82">
        <f>ROUND($E$8*G32*3,0)</f>
        <v>0</v>
      </c>
    </row>
    <row r="33" spans="1:8" ht="26.25" customHeight="1" hidden="1">
      <c r="A33" s="23"/>
      <c r="B33" s="252" t="s">
        <v>159</v>
      </c>
      <c r="C33" s="253"/>
      <c r="D33" s="254"/>
      <c r="E33" s="98" t="s">
        <v>35</v>
      </c>
      <c r="F33" s="83"/>
      <c r="G33" s="81"/>
      <c r="H33" s="82">
        <f>ROUND($E$8*G33*3,0)</f>
        <v>0</v>
      </c>
    </row>
    <row r="34" spans="1:8" ht="15.75">
      <c r="A34" s="79"/>
      <c r="B34" s="280" t="s">
        <v>30</v>
      </c>
      <c r="C34" s="281"/>
      <c r="D34" s="282"/>
      <c r="E34" s="14"/>
      <c r="F34" s="83"/>
      <c r="G34" s="21">
        <f>SUM(G19:G33)</f>
        <v>13.82</v>
      </c>
      <c r="H34" s="156">
        <f>SUM(H19:H33)</f>
        <v>554856</v>
      </c>
    </row>
    <row r="35" spans="1:8" ht="15.75" customHeight="1">
      <c r="A35" s="74" t="s">
        <v>216</v>
      </c>
      <c r="B35" s="248" t="s">
        <v>214</v>
      </c>
      <c r="C35" s="249"/>
      <c r="D35" s="249"/>
      <c r="E35" s="102" t="s">
        <v>215</v>
      </c>
      <c r="F35" s="51" t="s">
        <v>139</v>
      </c>
      <c r="G35" s="24">
        <v>1.54</v>
      </c>
      <c r="H35" s="82">
        <f>ROUND($E$8*G35*6,0)</f>
        <v>61829</v>
      </c>
    </row>
    <row r="36" spans="1:8" ht="15.75" customHeight="1">
      <c r="A36" s="74" t="s">
        <v>217</v>
      </c>
      <c r="B36" s="267" t="s">
        <v>194</v>
      </c>
      <c r="C36" s="267"/>
      <c r="D36" s="267"/>
      <c r="E36" s="267"/>
      <c r="F36" s="267"/>
      <c r="G36" s="21">
        <f>SUM(G34:G35)</f>
        <v>15.36</v>
      </c>
      <c r="H36" s="157">
        <f>SUM(H34:H35)</f>
        <v>616685</v>
      </c>
    </row>
    <row r="37" spans="1:8" ht="16.5" thickBot="1">
      <c r="A37" s="121" t="s">
        <v>99</v>
      </c>
      <c r="B37" s="268" t="s">
        <v>207</v>
      </c>
      <c r="C37" s="269"/>
      <c r="D37" s="270"/>
      <c r="E37" s="122"/>
      <c r="F37" s="123" t="s">
        <v>139</v>
      </c>
      <c r="G37" s="124">
        <v>0</v>
      </c>
      <c r="H37" s="139">
        <f>ROUND($E$8*G37*6,0)</f>
        <v>0</v>
      </c>
    </row>
    <row r="38" spans="1:8" ht="12" customHeight="1" thickBot="1">
      <c r="A38" s="146"/>
      <c r="B38" s="285"/>
      <c r="C38" s="286"/>
      <c r="D38" s="287"/>
      <c r="E38" s="147"/>
      <c r="F38" s="148"/>
      <c r="G38" s="149"/>
      <c r="H38" s="150"/>
    </row>
    <row r="39" spans="1:8" ht="45" customHeight="1" thickBot="1">
      <c r="A39" s="151" t="s">
        <v>102</v>
      </c>
      <c r="B39" s="288" t="s">
        <v>225</v>
      </c>
      <c r="C39" s="289"/>
      <c r="D39" s="290"/>
      <c r="E39" s="152" t="s">
        <v>226</v>
      </c>
      <c r="F39" s="153" t="s">
        <v>227</v>
      </c>
      <c r="G39" s="155">
        <v>1000</v>
      </c>
      <c r="H39" s="154">
        <f>ROUND(G39*3,0)</f>
        <v>3000</v>
      </c>
    </row>
    <row r="40" spans="1:7" ht="15.75">
      <c r="A40" s="142"/>
      <c r="B40" s="284" t="s">
        <v>218</v>
      </c>
      <c r="C40" s="284"/>
      <c r="D40" s="284"/>
      <c r="E40" s="284"/>
      <c r="F40" s="144"/>
      <c r="G40" s="145"/>
    </row>
    <row r="41" spans="1:7" ht="13.5" customHeight="1">
      <c r="A41" s="142"/>
      <c r="B41" s="143"/>
      <c r="C41" s="143"/>
      <c r="D41" s="143"/>
      <c r="E41" s="143"/>
      <c r="F41" s="144"/>
      <c r="G41" s="145"/>
    </row>
    <row r="42" ht="15.75">
      <c r="B42" s="130" t="s">
        <v>223</v>
      </c>
    </row>
    <row r="43" spans="1:7" ht="11.25" customHeight="1">
      <c r="A43" s="142"/>
      <c r="B43" s="143"/>
      <c r="C43" s="143"/>
      <c r="D43" s="143"/>
      <c r="E43" s="143"/>
      <c r="F43" s="144"/>
      <c r="G43" s="145"/>
    </row>
    <row r="44" spans="2:8" ht="15.75">
      <c r="B44" s="47" t="s">
        <v>219</v>
      </c>
      <c r="C44" s="47"/>
      <c r="D44" s="47"/>
      <c r="E44" s="34" t="s">
        <v>220</v>
      </c>
      <c r="F44" s="34"/>
      <c r="G44" s="34"/>
      <c r="H44" s="34"/>
    </row>
    <row r="46" spans="2:5" ht="15.75">
      <c r="B46" s="47" t="s">
        <v>221</v>
      </c>
      <c r="C46" s="47"/>
      <c r="D46" s="47"/>
      <c r="E46" t="s">
        <v>222</v>
      </c>
    </row>
    <row r="47" spans="2:7" ht="15.75" customHeight="1">
      <c r="B47" s="129"/>
      <c r="C47" s="129"/>
      <c r="D47" s="129"/>
      <c r="E47" s="129"/>
      <c r="F47" s="85"/>
      <c r="G47" s="86"/>
    </row>
  </sheetData>
  <mergeCells count="31">
    <mergeCell ref="C1:H1"/>
    <mergeCell ref="A4:H4"/>
    <mergeCell ref="B6:G6"/>
    <mergeCell ref="B13:D13"/>
    <mergeCell ref="B12:D12"/>
    <mergeCell ref="B36:F36"/>
    <mergeCell ref="B37:D37"/>
    <mergeCell ref="B40:E40"/>
    <mergeCell ref="B35:D35"/>
    <mergeCell ref="B38:D38"/>
    <mergeCell ref="B39:D39"/>
    <mergeCell ref="B27:D27"/>
    <mergeCell ref="B28:D28"/>
    <mergeCell ref="B33:D33"/>
    <mergeCell ref="B34:D34"/>
    <mergeCell ref="B29:D29"/>
    <mergeCell ref="B30:D30"/>
    <mergeCell ref="B31:D31"/>
    <mergeCell ref="B32:D32"/>
    <mergeCell ref="B23:D23"/>
    <mergeCell ref="B24:D24"/>
    <mergeCell ref="B25:D25"/>
    <mergeCell ref="B26:D26"/>
    <mergeCell ref="B19:D19"/>
    <mergeCell ref="B20:D20"/>
    <mergeCell ref="B21:D21"/>
    <mergeCell ref="B22:D22"/>
    <mergeCell ref="B14:F14"/>
    <mergeCell ref="B15:F15"/>
    <mergeCell ref="B16:F16"/>
    <mergeCell ref="B17:F17"/>
  </mergeCells>
  <printOptions horizontalCentered="1"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workbookViewId="0" topLeftCell="A25">
      <selection activeCell="N33" sqref="N33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9.2539062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224" t="s">
        <v>242</v>
      </c>
      <c r="B1" s="224"/>
      <c r="C1" s="224"/>
      <c r="D1" s="224"/>
      <c r="E1" s="224"/>
      <c r="F1" s="224"/>
      <c r="G1" s="224"/>
      <c r="H1" s="224"/>
      <c r="I1" s="224"/>
    </row>
    <row r="2" spans="1:9" ht="20.25">
      <c r="A2" s="158"/>
      <c r="B2" s="158"/>
      <c r="C2" s="158"/>
      <c r="D2" s="158"/>
      <c r="E2" s="158"/>
      <c r="F2" s="158"/>
      <c r="G2" s="158"/>
      <c r="H2" s="158"/>
      <c r="I2" s="158"/>
    </row>
    <row r="3" spans="1:9" ht="20.25">
      <c r="A3" s="158"/>
      <c r="B3" s="158"/>
      <c r="C3" s="158"/>
      <c r="D3" s="158"/>
      <c r="E3" s="158"/>
      <c r="F3" s="158"/>
      <c r="G3" s="158"/>
      <c r="H3" s="158"/>
      <c r="I3" s="158"/>
    </row>
    <row r="4" spans="1:6" ht="31.5">
      <c r="A4" s="1" t="s">
        <v>77</v>
      </c>
      <c r="B4" s="1" t="s">
        <v>84</v>
      </c>
      <c r="C4" s="2"/>
      <c r="D4" s="160" t="s">
        <v>232</v>
      </c>
      <c r="E4" s="4">
        <v>6691.5</v>
      </c>
      <c r="F4" s="2"/>
    </row>
    <row r="5" spans="2:6" ht="15.75">
      <c r="B5" s="3" t="s">
        <v>1</v>
      </c>
      <c r="C5" s="27">
        <v>9</v>
      </c>
      <c r="D5" s="2" t="s">
        <v>2</v>
      </c>
      <c r="E5" s="4">
        <v>127</v>
      </c>
      <c r="F5" s="2"/>
    </row>
    <row r="6" spans="2:8" ht="15.75">
      <c r="B6" s="3" t="s">
        <v>3</v>
      </c>
      <c r="C6" s="4">
        <v>4</v>
      </c>
      <c r="D6" s="2" t="s">
        <v>4</v>
      </c>
      <c r="E6" s="2" t="s">
        <v>85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16</v>
      </c>
      <c r="F7" s="2"/>
      <c r="G7" s="2"/>
      <c r="H7" s="2"/>
    </row>
    <row r="8" spans="1:9" ht="89.25">
      <c r="A8" s="117" t="s">
        <v>60</v>
      </c>
      <c r="B8" s="271" t="s">
        <v>142</v>
      </c>
      <c r="C8" s="272"/>
      <c r="D8" s="273"/>
      <c r="E8" s="73" t="s">
        <v>6</v>
      </c>
      <c r="F8" s="73" t="s">
        <v>7</v>
      </c>
      <c r="G8" s="118" t="s">
        <v>233</v>
      </c>
      <c r="H8" s="118" t="s">
        <v>234</v>
      </c>
      <c r="I8" s="119" t="s">
        <v>235</v>
      </c>
    </row>
    <row r="9" spans="1:9" ht="25.5">
      <c r="A9" s="132">
        <v>1</v>
      </c>
      <c r="B9" s="261">
        <v>2</v>
      </c>
      <c r="C9" s="262"/>
      <c r="D9" s="293"/>
      <c r="E9" s="136">
        <v>3</v>
      </c>
      <c r="F9" s="136">
        <v>3</v>
      </c>
      <c r="G9" s="136">
        <v>4</v>
      </c>
      <c r="H9" s="136">
        <v>5</v>
      </c>
      <c r="I9" s="138" t="s">
        <v>243</v>
      </c>
    </row>
    <row r="10" spans="1:9" ht="15.75" customHeight="1">
      <c r="A10" s="74">
        <v>1</v>
      </c>
      <c r="B10" s="274" t="s">
        <v>135</v>
      </c>
      <c r="C10" s="274"/>
      <c r="D10" s="274"/>
      <c r="E10" s="274"/>
      <c r="F10" s="274"/>
      <c r="G10" s="75"/>
      <c r="H10" s="161"/>
      <c r="I10" s="76"/>
    </row>
    <row r="11" spans="1:9" ht="15.75" customHeight="1">
      <c r="A11" s="74"/>
      <c r="B11" s="192" t="s">
        <v>191</v>
      </c>
      <c r="C11" s="192"/>
      <c r="D11" s="192"/>
      <c r="E11" s="192"/>
      <c r="F11" s="192"/>
      <c r="G11" s="24">
        <f>G32</f>
        <v>14.370000000000001</v>
      </c>
      <c r="H11" s="24">
        <f>H32</f>
        <v>15.300000000000002</v>
      </c>
      <c r="I11" s="82">
        <f>ROUND($E$4*G11*6,0)+ROUND($E$4*H11*6,0)</f>
        <v>1191221</v>
      </c>
    </row>
    <row r="12" spans="1:9" ht="15.75" customHeight="1">
      <c r="A12" s="74"/>
      <c r="B12" s="276" t="s">
        <v>136</v>
      </c>
      <c r="C12" s="276"/>
      <c r="D12" s="276"/>
      <c r="E12" s="276"/>
      <c r="F12" s="276"/>
      <c r="G12" s="24">
        <f>G33</f>
        <v>0</v>
      </c>
      <c r="H12" s="24">
        <f>H33</f>
        <v>0</v>
      </c>
      <c r="I12" s="82">
        <f>ROUND($E$4*G12*6,0)+ROUND($E$4*H12*6,0)</f>
        <v>0</v>
      </c>
    </row>
    <row r="13" spans="1:9" ht="15.75" customHeight="1">
      <c r="A13" s="74">
        <v>2</v>
      </c>
      <c r="B13" s="294" t="s">
        <v>65</v>
      </c>
      <c r="C13" s="295"/>
      <c r="D13" s="295"/>
      <c r="E13" s="295"/>
      <c r="F13" s="296"/>
      <c r="G13" s="77"/>
      <c r="H13" s="159"/>
      <c r="I13" s="82"/>
    </row>
    <row r="14" spans="1:9" ht="18.75" customHeight="1">
      <c r="A14" s="74" t="s">
        <v>213</v>
      </c>
      <c r="B14" s="19" t="s">
        <v>66</v>
      </c>
      <c r="C14" s="19"/>
      <c r="D14" s="19"/>
      <c r="E14" s="19"/>
      <c r="F14" s="5"/>
      <c r="G14" s="78"/>
      <c r="H14" s="162"/>
      <c r="I14" s="82"/>
    </row>
    <row r="15" spans="1:9" ht="29.25" customHeight="1">
      <c r="A15" s="79"/>
      <c r="B15" s="297" t="s">
        <v>236</v>
      </c>
      <c r="C15" s="275"/>
      <c r="D15" s="275"/>
      <c r="E15" s="98" t="s">
        <v>32</v>
      </c>
      <c r="F15" s="80" t="s">
        <v>24</v>
      </c>
      <c r="G15" s="81">
        <v>1.29</v>
      </c>
      <c r="H15" s="163">
        <v>1.37</v>
      </c>
      <c r="I15" s="82">
        <f>ROUND($E$4*G15*6,0)+ROUND($E$4*H15*6,0)</f>
        <v>106796</v>
      </c>
    </row>
    <row r="16" spans="1:10" ht="15.75" customHeight="1">
      <c r="A16" s="79"/>
      <c r="B16" s="275" t="s">
        <v>17</v>
      </c>
      <c r="C16" s="275"/>
      <c r="D16" s="275"/>
      <c r="E16" s="98" t="s">
        <v>32</v>
      </c>
      <c r="F16" s="80" t="s">
        <v>19</v>
      </c>
      <c r="G16" s="81">
        <v>0.3</v>
      </c>
      <c r="H16" s="163">
        <v>0.32</v>
      </c>
      <c r="I16" s="82">
        <f aca="true" t="shared" si="0" ref="I16:I33">ROUND($E$4*G16*6,0)+ROUND($E$4*H16*6,0)</f>
        <v>24893</v>
      </c>
      <c r="J16" s="31"/>
    </row>
    <row r="17" spans="1:9" ht="18.75" customHeight="1">
      <c r="A17" s="79"/>
      <c r="B17" s="277" t="s">
        <v>237</v>
      </c>
      <c r="C17" s="277"/>
      <c r="D17" s="277"/>
      <c r="E17" s="102" t="s">
        <v>154</v>
      </c>
      <c r="F17" s="83" t="s">
        <v>20</v>
      </c>
      <c r="G17" s="81">
        <v>0.06</v>
      </c>
      <c r="H17" s="163">
        <v>0.06</v>
      </c>
      <c r="I17" s="82">
        <f t="shared" si="0"/>
        <v>4818</v>
      </c>
    </row>
    <row r="18" spans="1:9" ht="15.75" customHeight="1">
      <c r="A18" s="79"/>
      <c r="B18" s="279" t="s">
        <v>31</v>
      </c>
      <c r="C18" s="279"/>
      <c r="D18" s="279"/>
      <c r="E18" s="104" t="s">
        <v>9</v>
      </c>
      <c r="F18" s="84" t="s">
        <v>10</v>
      </c>
      <c r="G18" s="81">
        <v>0.54</v>
      </c>
      <c r="H18" s="163">
        <v>0.58</v>
      </c>
      <c r="I18" s="82">
        <f t="shared" si="0"/>
        <v>44966</v>
      </c>
    </row>
    <row r="19" spans="1:9" ht="51" customHeight="1">
      <c r="A19" s="79"/>
      <c r="B19" s="277" t="s">
        <v>27</v>
      </c>
      <c r="C19" s="277"/>
      <c r="D19" s="277"/>
      <c r="E19" s="102" t="s">
        <v>155</v>
      </c>
      <c r="F19" s="83" t="s">
        <v>25</v>
      </c>
      <c r="G19" s="81">
        <v>0.13</v>
      </c>
      <c r="H19" s="163">
        <v>0.14</v>
      </c>
      <c r="I19" s="82">
        <f t="shared" si="0"/>
        <v>10840</v>
      </c>
    </row>
    <row r="20" spans="1:9" ht="37.5" customHeight="1">
      <c r="A20" s="79"/>
      <c r="B20" s="277" t="s">
        <v>11</v>
      </c>
      <c r="C20" s="277"/>
      <c r="D20" s="277"/>
      <c r="E20" s="102" t="s">
        <v>9</v>
      </c>
      <c r="F20" s="83" t="s">
        <v>12</v>
      </c>
      <c r="G20" s="81">
        <v>2.35</v>
      </c>
      <c r="H20" s="163">
        <v>2.5</v>
      </c>
      <c r="I20" s="82">
        <f t="shared" si="0"/>
        <v>194723</v>
      </c>
    </row>
    <row r="21" spans="1:9" ht="21" customHeight="1">
      <c r="A21" s="79"/>
      <c r="B21" s="277" t="s">
        <v>26</v>
      </c>
      <c r="C21" s="278"/>
      <c r="D21" s="278"/>
      <c r="E21" s="105" t="s">
        <v>13</v>
      </c>
      <c r="F21" s="77" t="s">
        <v>137</v>
      </c>
      <c r="G21" s="81">
        <v>0.05</v>
      </c>
      <c r="H21" s="163">
        <v>0.05</v>
      </c>
      <c r="I21" s="82">
        <f t="shared" si="0"/>
        <v>4014</v>
      </c>
    </row>
    <row r="22" spans="1:9" ht="51">
      <c r="A22" s="79"/>
      <c r="B22" s="277" t="s">
        <v>71</v>
      </c>
      <c r="C22" s="277"/>
      <c r="D22" s="277"/>
      <c r="E22" s="98" t="s">
        <v>224</v>
      </c>
      <c r="F22" s="83" t="s">
        <v>82</v>
      </c>
      <c r="G22" s="81">
        <v>1.63</v>
      </c>
      <c r="H22" s="163">
        <v>1.74</v>
      </c>
      <c r="I22" s="82">
        <f t="shared" si="0"/>
        <v>135302</v>
      </c>
    </row>
    <row r="23" spans="1:9" ht="55.5" customHeight="1">
      <c r="A23" s="79"/>
      <c r="B23" s="275" t="s">
        <v>15</v>
      </c>
      <c r="C23" s="275"/>
      <c r="D23" s="275"/>
      <c r="E23" s="98" t="s">
        <v>138</v>
      </c>
      <c r="F23" s="83" t="s">
        <v>82</v>
      </c>
      <c r="G23" s="81">
        <v>0.56</v>
      </c>
      <c r="H23" s="163">
        <v>0.6</v>
      </c>
      <c r="I23" s="82">
        <f t="shared" si="0"/>
        <v>46572</v>
      </c>
    </row>
    <row r="24" spans="1:9" ht="28.5" customHeight="1">
      <c r="A24" s="79"/>
      <c r="B24" s="277" t="s">
        <v>36</v>
      </c>
      <c r="C24" s="278"/>
      <c r="D24" s="278"/>
      <c r="E24" s="98" t="s">
        <v>35</v>
      </c>
      <c r="F24" s="83" t="s">
        <v>82</v>
      </c>
      <c r="G24" s="81">
        <f>4.38-G25-G26</f>
        <v>4.07</v>
      </c>
      <c r="H24" s="81">
        <f>4.66-H25-H26</f>
        <v>4.33</v>
      </c>
      <c r="I24" s="82">
        <f t="shared" si="0"/>
        <v>337251</v>
      </c>
    </row>
    <row r="25" spans="1:9" ht="15.75">
      <c r="A25" s="79"/>
      <c r="B25" s="277" t="s">
        <v>192</v>
      </c>
      <c r="C25" s="277"/>
      <c r="D25" s="277"/>
      <c r="E25" s="102" t="s">
        <v>9</v>
      </c>
      <c r="F25" s="83" t="s">
        <v>82</v>
      </c>
      <c r="G25" s="81">
        <v>0.31</v>
      </c>
      <c r="H25" s="163">
        <v>0.33</v>
      </c>
      <c r="I25" s="82">
        <f t="shared" si="0"/>
        <v>25695</v>
      </c>
    </row>
    <row r="26" spans="1:9" ht="15.75">
      <c r="A26" s="79"/>
      <c r="B26" s="277" t="s">
        <v>157</v>
      </c>
      <c r="C26" s="277"/>
      <c r="D26" s="277"/>
      <c r="E26" s="102" t="s">
        <v>9</v>
      </c>
      <c r="F26" s="83" t="s">
        <v>82</v>
      </c>
      <c r="G26" s="141">
        <v>0</v>
      </c>
      <c r="H26" s="181">
        <v>0</v>
      </c>
      <c r="I26" s="82">
        <f t="shared" si="0"/>
        <v>0</v>
      </c>
    </row>
    <row r="27" spans="1:9" ht="29.25" customHeight="1">
      <c r="A27" s="79"/>
      <c r="B27" s="278" t="s">
        <v>238</v>
      </c>
      <c r="C27" s="278"/>
      <c r="D27" s="278"/>
      <c r="E27" s="98" t="s">
        <v>35</v>
      </c>
      <c r="F27" s="83" t="s">
        <v>82</v>
      </c>
      <c r="G27" s="81">
        <v>1.54</v>
      </c>
      <c r="H27" s="163">
        <v>1.64</v>
      </c>
      <c r="I27" s="82">
        <f t="shared" si="0"/>
        <v>127673</v>
      </c>
    </row>
    <row r="28" spans="1:9" ht="15.75" customHeight="1" hidden="1">
      <c r="A28" s="23"/>
      <c r="B28" s="252" t="s">
        <v>158</v>
      </c>
      <c r="C28" s="253"/>
      <c r="D28" s="254"/>
      <c r="E28" s="102" t="s">
        <v>9</v>
      </c>
      <c r="F28" s="83"/>
      <c r="G28" s="81"/>
      <c r="H28" s="163"/>
      <c r="I28" s="82">
        <f t="shared" si="0"/>
        <v>0</v>
      </c>
    </row>
    <row r="29" spans="1:9" ht="31.5" customHeight="1" hidden="1">
      <c r="A29" s="23"/>
      <c r="B29" s="252" t="s">
        <v>159</v>
      </c>
      <c r="C29" s="253"/>
      <c r="D29" s="254"/>
      <c r="E29" s="98" t="s">
        <v>35</v>
      </c>
      <c r="F29" s="83"/>
      <c r="G29" s="81"/>
      <c r="H29" s="163"/>
      <c r="I29" s="82">
        <f t="shared" si="0"/>
        <v>0</v>
      </c>
    </row>
    <row r="30" spans="1:9" ht="15.75" customHeight="1">
      <c r="A30" s="79"/>
      <c r="B30" s="280" t="s">
        <v>30</v>
      </c>
      <c r="C30" s="281"/>
      <c r="D30" s="282"/>
      <c r="E30" s="14"/>
      <c r="F30" s="83"/>
      <c r="G30" s="21">
        <f>SUM(G15:G29)</f>
        <v>12.830000000000002</v>
      </c>
      <c r="H30" s="21">
        <f>SUM(H15:H29)</f>
        <v>13.660000000000002</v>
      </c>
      <c r="I30" s="82">
        <f t="shared" si="0"/>
        <v>1063547</v>
      </c>
    </row>
    <row r="31" spans="1:9" ht="21" customHeight="1">
      <c r="A31" s="74" t="s">
        <v>216</v>
      </c>
      <c r="B31" s="248" t="s">
        <v>214</v>
      </c>
      <c r="C31" s="249"/>
      <c r="D31" s="249"/>
      <c r="E31" s="164" t="s">
        <v>215</v>
      </c>
      <c r="F31" s="51" t="s">
        <v>139</v>
      </c>
      <c r="G31" s="24">
        <v>1.54</v>
      </c>
      <c r="H31" s="24">
        <v>1.64</v>
      </c>
      <c r="I31" s="82">
        <f t="shared" si="0"/>
        <v>127673</v>
      </c>
    </row>
    <row r="32" spans="1:9" ht="15.75" customHeight="1">
      <c r="A32" s="74" t="s">
        <v>217</v>
      </c>
      <c r="B32" s="267" t="s">
        <v>194</v>
      </c>
      <c r="C32" s="267"/>
      <c r="D32" s="267"/>
      <c r="E32" s="267"/>
      <c r="F32" s="267"/>
      <c r="G32" s="21">
        <f>SUM(G30:G31)</f>
        <v>14.370000000000001</v>
      </c>
      <c r="H32" s="21">
        <f>SUM(H30:H31)</f>
        <v>15.300000000000002</v>
      </c>
      <c r="I32" s="82">
        <f t="shared" si="0"/>
        <v>1191221</v>
      </c>
    </row>
    <row r="33" spans="1:9" ht="24" customHeight="1" thickBot="1">
      <c r="A33" s="121" t="s">
        <v>99</v>
      </c>
      <c r="B33" s="268" t="s">
        <v>239</v>
      </c>
      <c r="C33" s="269"/>
      <c r="D33" s="270"/>
      <c r="E33" s="165" t="s">
        <v>215</v>
      </c>
      <c r="F33" s="123" t="s">
        <v>139</v>
      </c>
      <c r="G33" s="179">
        <v>0</v>
      </c>
      <c r="H33" s="180">
        <v>0</v>
      </c>
      <c r="I33" s="139">
        <f t="shared" si="0"/>
        <v>0</v>
      </c>
    </row>
    <row r="34" spans="1:9" ht="9" customHeight="1" thickBot="1">
      <c r="A34" s="171"/>
      <c r="B34" s="172"/>
      <c r="C34" s="173"/>
      <c r="D34" s="174"/>
      <c r="E34" s="175"/>
      <c r="F34" s="176"/>
      <c r="G34" s="177"/>
      <c r="H34" s="178"/>
      <c r="I34" s="150"/>
    </row>
    <row r="35" spans="1:9" ht="45" customHeight="1" thickBot="1">
      <c r="A35" s="151" t="s">
        <v>102</v>
      </c>
      <c r="B35" s="288" t="s">
        <v>225</v>
      </c>
      <c r="C35" s="289"/>
      <c r="D35" s="290"/>
      <c r="E35" s="152" t="s">
        <v>226</v>
      </c>
      <c r="F35" s="153" t="s">
        <v>227</v>
      </c>
      <c r="G35" s="168">
        <v>1000</v>
      </c>
      <c r="H35" s="169">
        <v>1000</v>
      </c>
      <c r="I35" s="170">
        <f>ROUND(G35*5,0)+ROUND(H35*3,0)</f>
        <v>8000</v>
      </c>
    </row>
    <row r="36" spans="1:9" ht="48" customHeight="1">
      <c r="A36" s="298" t="s">
        <v>240</v>
      </c>
      <c r="B36" s="298"/>
      <c r="C36" s="298"/>
      <c r="D36" s="298"/>
      <c r="E36" s="298"/>
      <c r="G36" s="85"/>
      <c r="H36" s="85"/>
      <c r="I36" s="86"/>
    </row>
    <row r="37" spans="2:9" ht="24.75" customHeight="1">
      <c r="B37" s="166"/>
      <c r="C37" s="166"/>
      <c r="D37" s="166"/>
      <c r="E37" s="166"/>
      <c r="G37" s="85"/>
      <c r="H37" s="85"/>
      <c r="I37" s="86"/>
    </row>
    <row r="38" spans="1:9" ht="15.75" customHeight="1">
      <c r="A38" s="43" t="s">
        <v>241</v>
      </c>
      <c r="B38" s="43"/>
      <c r="C38" s="43"/>
      <c r="D38" s="34"/>
      <c r="G38" s="85"/>
      <c r="H38" s="85"/>
      <c r="I38" s="86"/>
    </row>
  </sheetData>
  <mergeCells count="28">
    <mergeCell ref="A36:E36"/>
    <mergeCell ref="B35:D35"/>
    <mergeCell ref="B28:D28"/>
    <mergeCell ref="B29:D29"/>
    <mergeCell ref="B30:D30"/>
    <mergeCell ref="B31:D31"/>
    <mergeCell ref="B32:F32"/>
    <mergeCell ref="B33:D33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1:F11"/>
    <mergeCell ref="B12:F12"/>
    <mergeCell ref="B13:F13"/>
    <mergeCell ref="B15:D15"/>
    <mergeCell ref="A1:I1"/>
    <mergeCell ref="B8:D8"/>
    <mergeCell ref="B9:D9"/>
    <mergeCell ref="B10:F10"/>
  </mergeCells>
  <printOptions horizontalCentered="1"/>
  <pageMargins left="0.5905511811023623" right="0.1968503937007874" top="0.5905511811023623" bottom="0.5905511811023623" header="0.5118110236220472" footer="0.5118110236220472"/>
  <pageSetup fitToHeight="1" fitToWidth="1" orientation="portrait" paperSize="9" scale="7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B1">
      <selection activeCell="H3" sqref="H1:I16384"/>
    </sheetView>
  </sheetViews>
  <sheetFormatPr defaultColWidth="9.00390625" defaultRowHeight="15.75"/>
  <cols>
    <col min="1" max="1" width="7.75390625" style="0" customWidth="1"/>
    <col min="2" max="2" width="25.125" style="0" customWidth="1"/>
    <col min="3" max="3" width="3.75390625" style="0" customWidth="1"/>
    <col min="4" max="4" width="24.875" style="0" customWidth="1"/>
    <col min="5" max="5" width="16.875" style="0" customWidth="1"/>
    <col min="6" max="6" width="18.00390625" style="0" hidden="1" customWidth="1"/>
    <col min="7" max="7" width="0.12890625" style="0" customWidth="1"/>
    <col min="8" max="8" width="13.25390625" style="0" hidden="1" customWidth="1"/>
    <col min="9" max="9" width="12.00390625" style="0" hidden="1" customWidth="1"/>
    <col min="10" max="10" width="19.375" style="0" customWidth="1"/>
    <col min="11" max="12" width="0" style="0" hidden="1" customWidth="1"/>
  </cols>
  <sheetData>
    <row r="1" spans="1:10" ht="126.75" customHeight="1">
      <c r="A1" s="224" t="s">
        <v>254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54" customHeight="1">
      <c r="A2" s="260" t="s">
        <v>244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9" ht="18.75">
      <c r="A3" s="1" t="s">
        <v>77</v>
      </c>
      <c r="B3" s="1" t="s">
        <v>84</v>
      </c>
      <c r="C3" s="2"/>
      <c r="D3" s="2" t="s">
        <v>0</v>
      </c>
      <c r="E3" s="4">
        <v>6691.5</v>
      </c>
      <c r="F3" s="2"/>
      <c r="I3" s="87"/>
    </row>
    <row r="4" spans="2:6" ht="15.75">
      <c r="B4" s="3" t="s">
        <v>1</v>
      </c>
      <c r="C4" s="27">
        <v>9</v>
      </c>
      <c r="D4" s="2" t="s">
        <v>2</v>
      </c>
      <c r="E4" s="4">
        <v>127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85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2" ht="46.5" customHeight="1">
      <c r="A7" s="22" t="s">
        <v>60</v>
      </c>
      <c r="B7" s="261" t="s">
        <v>142</v>
      </c>
      <c r="C7" s="262"/>
      <c r="D7" s="263"/>
      <c r="E7" s="11" t="s">
        <v>6</v>
      </c>
      <c r="F7" s="11" t="s">
        <v>7</v>
      </c>
      <c r="G7" s="194" t="s">
        <v>252</v>
      </c>
      <c r="H7" s="264" t="s">
        <v>253</v>
      </c>
      <c r="I7" s="265"/>
      <c r="J7" s="266"/>
      <c r="K7" s="57">
        <v>6</v>
      </c>
      <c r="L7" s="195" t="s">
        <v>247</v>
      </c>
    </row>
    <row r="8" spans="1:10" ht="15.75">
      <c r="A8" s="23">
        <v>1</v>
      </c>
      <c r="B8" s="189"/>
      <c r="C8" s="190"/>
      <c r="D8" s="190"/>
      <c r="E8" s="190"/>
      <c r="F8" s="191"/>
      <c r="G8" s="196"/>
      <c r="H8" s="197" t="s">
        <v>144</v>
      </c>
      <c r="I8" s="91" t="s">
        <v>145</v>
      </c>
      <c r="J8" s="91" t="s">
        <v>146</v>
      </c>
    </row>
    <row r="9" spans="1:10" ht="15.75">
      <c r="A9" s="23"/>
      <c r="B9" s="189" t="s">
        <v>147</v>
      </c>
      <c r="C9" s="190"/>
      <c r="D9" s="190"/>
      <c r="E9" s="190"/>
      <c r="F9" s="191"/>
      <c r="G9" s="58"/>
      <c r="H9" s="58"/>
      <c r="I9" s="58"/>
      <c r="J9" s="91"/>
    </row>
    <row r="10" spans="1:10" ht="15.75">
      <c r="A10" s="92"/>
      <c r="B10" s="259" t="s">
        <v>148</v>
      </c>
      <c r="C10" s="259"/>
      <c r="D10" s="259"/>
      <c r="E10" s="259"/>
      <c r="F10" s="259"/>
      <c r="G10" s="15"/>
      <c r="H10" s="93">
        <v>573154.51</v>
      </c>
      <c r="I10" s="75"/>
      <c r="J10" s="94">
        <f>H10+I10</f>
        <v>573154.51</v>
      </c>
    </row>
    <row r="11" spans="1:10" ht="15.75">
      <c r="A11" s="92"/>
      <c r="B11" s="259" t="s">
        <v>149</v>
      </c>
      <c r="C11" s="259"/>
      <c r="D11" s="259"/>
      <c r="E11" s="259"/>
      <c r="F11" s="259"/>
      <c r="G11" s="15"/>
      <c r="H11" s="16">
        <v>713.3</v>
      </c>
      <c r="I11" s="75"/>
      <c r="J11" s="94">
        <f>H11+I11</f>
        <v>713.3</v>
      </c>
    </row>
    <row r="12" spans="1:10" ht="15.75">
      <c r="A12" s="23"/>
      <c r="B12" s="259" t="s">
        <v>150</v>
      </c>
      <c r="C12" s="259"/>
      <c r="D12" s="259"/>
      <c r="E12" s="259"/>
      <c r="F12" s="259"/>
      <c r="G12" s="15"/>
      <c r="H12" s="93"/>
      <c r="I12" s="75">
        <v>0</v>
      </c>
      <c r="J12" s="94">
        <f>H12+I12</f>
        <v>0</v>
      </c>
    </row>
    <row r="13" spans="1:10" ht="15.75">
      <c r="A13" s="23"/>
      <c r="B13" s="259" t="s">
        <v>245</v>
      </c>
      <c r="C13" s="259"/>
      <c r="D13" s="259"/>
      <c r="E13" s="259"/>
      <c r="F13" s="259"/>
      <c r="G13" s="15"/>
      <c r="H13" s="93">
        <v>0</v>
      </c>
      <c r="I13" s="95">
        <v>0</v>
      </c>
      <c r="J13" s="94">
        <f>H13+I13</f>
        <v>0</v>
      </c>
    </row>
    <row r="14" spans="1:10" ht="15.75">
      <c r="A14" s="23"/>
      <c r="B14" s="192" t="s">
        <v>152</v>
      </c>
      <c r="C14" s="192"/>
      <c r="D14" s="192"/>
      <c r="E14" s="192"/>
      <c r="F14" s="192"/>
      <c r="G14" s="15"/>
      <c r="H14" s="96">
        <f>SUM(H10:H12)</f>
        <v>573867.81</v>
      </c>
      <c r="I14" s="97">
        <f>SUM(I10:I12)</f>
        <v>0</v>
      </c>
      <c r="J14" s="96">
        <f>SUM(J10:J13)</f>
        <v>573867.81</v>
      </c>
    </row>
    <row r="15" spans="1:10" ht="18.75">
      <c r="A15" s="23">
        <v>2</v>
      </c>
      <c r="B15" s="301" t="s">
        <v>65</v>
      </c>
      <c r="C15" s="301"/>
      <c r="D15" s="301"/>
      <c r="E15" s="301"/>
      <c r="F15" s="301"/>
      <c r="G15" s="15"/>
      <c r="H15" s="93"/>
      <c r="I15" s="75"/>
      <c r="J15" s="35"/>
    </row>
    <row r="16" spans="1:10" ht="15.75">
      <c r="A16" s="23" t="s">
        <v>153</v>
      </c>
      <c r="B16" s="198" t="s">
        <v>66</v>
      </c>
      <c r="C16" s="198"/>
      <c r="D16" s="198"/>
      <c r="E16" s="198"/>
      <c r="F16" s="112"/>
      <c r="G16" s="197"/>
      <c r="H16" s="197"/>
      <c r="I16" s="88"/>
      <c r="J16" s="91"/>
    </row>
    <row r="17" spans="1:10" ht="33" customHeight="1">
      <c r="A17" s="26"/>
      <c r="B17" s="258" t="s">
        <v>248</v>
      </c>
      <c r="C17" s="258"/>
      <c r="D17" s="258"/>
      <c r="E17" s="98" t="s">
        <v>32</v>
      </c>
      <c r="F17" s="80" t="s">
        <v>24</v>
      </c>
      <c r="G17" s="81">
        <v>1.29</v>
      </c>
      <c r="H17" s="99">
        <f>ROUND($E$3*G17*$K$7,2)</f>
        <v>51792.21</v>
      </c>
      <c r="I17" s="100"/>
      <c r="J17" s="101">
        <f>SUM(H17:I17)</f>
        <v>51792.21</v>
      </c>
    </row>
    <row r="18" spans="1:10" ht="17.25" customHeight="1">
      <c r="A18" s="23"/>
      <c r="B18" s="256" t="s">
        <v>17</v>
      </c>
      <c r="C18" s="256"/>
      <c r="D18" s="256"/>
      <c r="E18" s="98" t="s">
        <v>32</v>
      </c>
      <c r="F18" s="80" t="s">
        <v>19</v>
      </c>
      <c r="G18" s="81">
        <v>0.3</v>
      </c>
      <c r="H18" s="99">
        <f>ROUND($E$3*G18*$K$7,2)</f>
        <v>12044.7</v>
      </c>
      <c r="I18" s="100"/>
      <c r="J18" s="101">
        <f>SUM(H18:I18)</f>
        <v>12044.7</v>
      </c>
    </row>
    <row r="19" spans="1:10" ht="20.25" customHeight="1">
      <c r="A19" s="23"/>
      <c r="B19" s="255" t="s">
        <v>23</v>
      </c>
      <c r="C19" s="255"/>
      <c r="D19" s="255"/>
      <c r="E19" s="102" t="s">
        <v>154</v>
      </c>
      <c r="F19" s="83" t="s">
        <v>20</v>
      </c>
      <c r="G19" s="81">
        <v>1.05</v>
      </c>
      <c r="H19" s="99">
        <f>J19-I19</f>
        <v>0</v>
      </c>
      <c r="I19" s="100"/>
      <c r="J19" s="103">
        <v>0</v>
      </c>
    </row>
    <row r="20" spans="1:10" ht="20.25" customHeight="1">
      <c r="A20" s="26"/>
      <c r="B20" s="258" t="s">
        <v>31</v>
      </c>
      <c r="C20" s="258"/>
      <c r="D20" s="258"/>
      <c r="E20" s="104" t="s">
        <v>9</v>
      </c>
      <c r="F20" s="84" t="s">
        <v>10</v>
      </c>
      <c r="G20" s="81">
        <v>0.54</v>
      </c>
      <c r="H20" s="99">
        <f>ROUND($E$3*G20*$K$7,2)</f>
        <v>21680.46</v>
      </c>
      <c r="I20" s="100"/>
      <c r="J20" s="101">
        <f>SUM(H20:I20)</f>
        <v>21680.46</v>
      </c>
    </row>
    <row r="21" spans="1:10" ht="53.25" customHeight="1">
      <c r="A21" s="23"/>
      <c r="B21" s="255" t="s">
        <v>27</v>
      </c>
      <c r="C21" s="255"/>
      <c r="D21" s="255"/>
      <c r="E21" s="102" t="s">
        <v>155</v>
      </c>
      <c r="F21" s="83" t="s">
        <v>25</v>
      </c>
      <c r="G21" s="81">
        <v>0.13</v>
      </c>
      <c r="H21" s="99">
        <f>J21-I21</f>
        <v>7694.08</v>
      </c>
      <c r="I21" s="100"/>
      <c r="J21" s="103">
        <v>7694.08</v>
      </c>
    </row>
    <row r="22" spans="1:10" ht="20.25" customHeight="1">
      <c r="A22" s="26"/>
      <c r="B22" s="255" t="s">
        <v>11</v>
      </c>
      <c r="C22" s="255"/>
      <c r="D22" s="255"/>
      <c r="E22" s="102" t="s">
        <v>9</v>
      </c>
      <c r="F22" s="83" t="s">
        <v>12</v>
      </c>
      <c r="G22" s="81">
        <v>2.35</v>
      </c>
      <c r="H22" s="99">
        <f>ROUND($E$3*G22*$K$7,2)</f>
        <v>94350.15</v>
      </c>
      <c r="I22" s="100"/>
      <c r="J22" s="103">
        <f>H22</f>
        <v>94350.15</v>
      </c>
    </row>
    <row r="23" spans="1:10" ht="20.25" customHeight="1">
      <c r="A23" s="26"/>
      <c r="B23" s="255" t="s">
        <v>26</v>
      </c>
      <c r="C23" s="251"/>
      <c r="D23" s="251"/>
      <c r="E23" s="105" t="s">
        <v>13</v>
      </c>
      <c r="F23" s="77" t="s">
        <v>14</v>
      </c>
      <c r="G23" s="81">
        <v>0.05</v>
      </c>
      <c r="H23" s="99">
        <f>J23-I23</f>
        <v>660.75</v>
      </c>
      <c r="I23" s="100"/>
      <c r="J23" s="103">
        <v>660.75</v>
      </c>
    </row>
    <row r="24" spans="1:10" ht="51.75" customHeight="1">
      <c r="A24" s="23"/>
      <c r="B24" s="255" t="s">
        <v>71</v>
      </c>
      <c r="C24" s="255"/>
      <c r="D24" s="255"/>
      <c r="E24" s="98" t="s">
        <v>224</v>
      </c>
      <c r="F24" s="46" t="s">
        <v>82</v>
      </c>
      <c r="G24" s="81">
        <v>1.63</v>
      </c>
      <c r="H24" s="99">
        <f aca="true" t="shared" si="0" ref="H24:H29">ROUND($E$3*G24*$K$7,2)</f>
        <v>65442.87</v>
      </c>
      <c r="I24" s="100"/>
      <c r="J24" s="101">
        <f aca="true" t="shared" si="1" ref="J24:J29">SUM(H24:I24)</f>
        <v>65442.87</v>
      </c>
    </row>
    <row r="25" spans="1:10" ht="53.25" customHeight="1">
      <c r="A25" s="23"/>
      <c r="B25" s="256" t="s">
        <v>15</v>
      </c>
      <c r="C25" s="256"/>
      <c r="D25" s="256"/>
      <c r="E25" s="98" t="s">
        <v>138</v>
      </c>
      <c r="F25" s="46" t="s">
        <v>82</v>
      </c>
      <c r="G25" s="81">
        <v>0.56</v>
      </c>
      <c r="H25" s="99">
        <f>J25-I25</f>
        <v>16868.64</v>
      </c>
      <c r="I25" s="100"/>
      <c r="J25" s="101">
        <v>16868.64</v>
      </c>
    </row>
    <row r="26" spans="1:10" ht="30" customHeight="1">
      <c r="A26" s="23"/>
      <c r="B26" s="257" t="s">
        <v>36</v>
      </c>
      <c r="C26" s="246"/>
      <c r="D26" s="247"/>
      <c r="E26" s="98" t="s">
        <v>35</v>
      </c>
      <c r="F26" s="46" t="s">
        <v>82</v>
      </c>
      <c r="G26" s="81">
        <f>4.38-G27-G28</f>
        <v>4.07</v>
      </c>
      <c r="H26" s="99">
        <f t="shared" si="0"/>
        <v>163406.43</v>
      </c>
      <c r="I26" s="107"/>
      <c r="J26" s="101">
        <f t="shared" si="1"/>
        <v>163406.43</v>
      </c>
    </row>
    <row r="27" spans="1:10" ht="26.25" customHeight="1">
      <c r="A27" s="26"/>
      <c r="B27" s="255" t="s">
        <v>156</v>
      </c>
      <c r="C27" s="255"/>
      <c r="D27" s="255"/>
      <c r="E27" s="102" t="s">
        <v>9</v>
      </c>
      <c r="F27" s="46" t="s">
        <v>82</v>
      </c>
      <c r="G27" s="81">
        <v>0.31</v>
      </c>
      <c r="H27" s="99">
        <f t="shared" si="0"/>
        <v>12446.19</v>
      </c>
      <c r="I27" s="107"/>
      <c r="J27" s="101">
        <f t="shared" si="1"/>
        <v>12446.19</v>
      </c>
    </row>
    <row r="28" spans="1:10" ht="17.25" customHeight="1">
      <c r="A28" s="23"/>
      <c r="B28" s="255" t="s">
        <v>157</v>
      </c>
      <c r="C28" s="255"/>
      <c r="D28" s="255"/>
      <c r="E28" s="102" t="s">
        <v>9</v>
      </c>
      <c r="F28" s="46" t="s">
        <v>82</v>
      </c>
      <c r="G28" s="141">
        <v>0</v>
      </c>
      <c r="H28" s="99">
        <f t="shared" si="0"/>
        <v>0</v>
      </c>
      <c r="I28" s="107"/>
      <c r="J28" s="101">
        <f t="shared" si="1"/>
        <v>0</v>
      </c>
    </row>
    <row r="29" spans="1:10" ht="29.25" customHeight="1">
      <c r="A29" s="23"/>
      <c r="B29" s="251" t="s">
        <v>21</v>
      </c>
      <c r="C29" s="251"/>
      <c r="D29" s="251"/>
      <c r="E29" s="98" t="s">
        <v>35</v>
      </c>
      <c r="F29" s="46" t="s">
        <v>82</v>
      </c>
      <c r="G29" s="81">
        <v>1.54</v>
      </c>
      <c r="H29" s="99">
        <f t="shared" si="0"/>
        <v>61829.46</v>
      </c>
      <c r="I29" s="100"/>
      <c r="J29" s="101">
        <f t="shared" si="1"/>
        <v>61829.46</v>
      </c>
    </row>
    <row r="30" spans="1:10" ht="15.75">
      <c r="A30" s="23"/>
      <c r="B30" s="245"/>
      <c r="C30" s="246"/>
      <c r="D30" s="247"/>
      <c r="E30" s="164"/>
      <c r="F30" s="46"/>
      <c r="G30" s="77"/>
      <c r="H30" s="106"/>
      <c r="I30" s="95"/>
      <c r="J30" s="108"/>
    </row>
    <row r="31" spans="1:10" ht="15.75">
      <c r="A31" s="23"/>
      <c r="B31" s="300" t="s">
        <v>30</v>
      </c>
      <c r="C31" s="300"/>
      <c r="D31" s="300"/>
      <c r="E31" s="23"/>
      <c r="F31" s="46"/>
      <c r="G31" s="24">
        <f>SUM(G17:G29)</f>
        <v>13.82</v>
      </c>
      <c r="H31" s="116">
        <f>SUM(H17:H30)</f>
        <v>508215.94</v>
      </c>
      <c r="I31" s="97"/>
      <c r="J31" s="116">
        <f>SUM(J17:J30)</f>
        <v>508215.94</v>
      </c>
    </row>
    <row r="32" spans="1:10" ht="15.75" hidden="1">
      <c r="A32" s="23"/>
      <c r="B32" s="252" t="s">
        <v>158</v>
      </c>
      <c r="C32" s="253"/>
      <c r="D32" s="254"/>
      <c r="E32" s="164" t="s">
        <v>9</v>
      </c>
      <c r="F32" s="46"/>
      <c r="G32" s="77"/>
      <c r="H32" s="106"/>
      <c r="I32" s="95"/>
      <c r="J32" s="108"/>
    </row>
    <row r="33" spans="1:10" ht="25.5" hidden="1">
      <c r="A33" s="23"/>
      <c r="B33" s="252" t="s">
        <v>159</v>
      </c>
      <c r="C33" s="253"/>
      <c r="D33" s="254"/>
      <c r="E33" s="199" t="s">
        <v>35</v>
      </c>
      <c r="F33" s="46"/>
      <c r="G33" s="77"/>
      <c r="H33" s="106"/>
      <c r="I33" s="95"/>
      <c r="J33" s="108"/>
    </row>
    <row r="34" spans="1:10" ht="15.75" hidden="1">
      <c r="A34" s="23"/>
      <c r="B34" s="245"/>
      <c r="C34" s="246"/>
      <c r="D34" s="247"/>
      <c r="E34" s="164"/>
      <c r="F34" s="46"/>
      <c r="G34" s="77"/>
      <c r="H34" s="106"/>
      <c r="I34" s="95"/>
      <c r="J34" s="108"/>
    </row>
    <row r="35" spans="1:10" ht="15" customHeight="1">
      <c r="A35" s="23" t="s">
        <v>160</v>
      </c>
      <c r="B35" s="248" t="s">
        <v>161</v>
      </c>
      <c r="C35" s="249"/>
      <c r="D35" s="249"/>
      <c r="E35" s="250"/>
      <c r="F35" s="46" t="s">
        <v>82</v>
      </c>
      <c r="G35" s="24">
        <f>H35/E3/$K$7</f>
        <v>13.741705895539118</v>
      </c>
      <c r="H35" s="200">
        <v>551715.75</v>
      </c>
      <c r="I35" s="110"/>
      <c r="J35" s="96">
        <f>SUM(H35:I35)</f>
        <v>551715.75</v>
      </c>
    </row>
    <row r="36" spans="1:10" ht="14.25" customHeight="1">
      <c r="A36" s="25"/>
      <c r="B36" s="241" t="s">
        <v>69</v>
      </c>
      <c r="C36" s="241"/>
      <c r="D36" s="241"/>
      <c r="E36" s="241"/>
      <c r="F36" s="241"/>
      <c r="G36" s="24">
        <f>SUM(G31:G35)</f>
        <v>27.56170589553912</v>
      </c>
      <c r="H36" s="201">
        <f>SUM(H31:H35)</f>
        <v>1059931.69</v>
      </c>
      <c r="I36" s="202"/>
      <c r="J36" s="201">
        <f>SUM(J31:J35)</f>
        <v>1059931.69</v>
      </c>
    </row>
    <row r="37" spans="1:10" ht="15.75">
      <c r="A37" s="23" t="s">
        <v>162</v>
      </c>
      <c r="B37" s="241" t="s">
        <v>163</v>
      </c>
      <c r="C37" s="241"/>
      <c r="D37" s="241"/>
      <c r="E37" s="241"/>
      <c r="F37" s="241"/>
      <c r="G37" s="24">
        <f>H37/E3/$K$7</f>
        <v>0</v>
      </c>
      <c r="H37" s="113">
        <v>0</v>
      </c>
      <c r="I37" s="113"/>
      <c r="J37" s="114">
        <f>SUM(H37:I37)</f>
        <v>0</v>
      </c>
    </row>
    <row r="38" spans="1:10" ht="24.75" customHeight="1">
      <c r="A38" s="25"/>
      <c r="B38" s="241" t="s">
        <v>164</v>
      </c>
      <c r="C38" s="241"/>
      <c r="D38" s="241"/>
      <c r="E38" s="241"/>
      <c r="F38" s="241"/>
      <c r="G38" s="24">
        <f>SUM(G36:G37)</f>
        <v>27.56170589553912</v>
      </c>
      <c r="H38" s="201">
        <f>SUM(H36:H37)</f>
        <v>1059931.69</v>
      </c>
      <c r="I38" s="202"/>
      <c r="J38" s="201">
        <f>SUM(J36:J37)</f>
        <v>1059931.69</v>
      </c>
    </row>
    <row r="39" spans="1:10" ht="27" customHeight="1">
      <c r="A39" s="23">
        <v>3</v>
      </c>
      <c r="B39" s="242" t="s">
        <v>255</v>
      </c>
      <c r="C39" s="243"/>
      <c r="D39" s="243"/>
      <c r="E39" s="243"/>
      <c r="F39" s="243"/>
      <c r="G39" s="167"/>
      <c r="H39" s="99">
        <f>H14-H38</f>
        <v>-486063.8799999999</v>
      </c>
      <c r="I39" s="99"/>
      <c r="J39" s="97">
        <f>J14-J38</f>
        <v>-486063.8799999999</v>
      </c>
    </row>
    <row r="40" spans="2:6" ht="15.75">
      <c r="B40" s="34"/>
      <c r="F40" s="34"/>
    </row>
    <row r="41" spans="2:9" ht="36" customHeight="1">
      <c r="B41" s="299" t="s">
        <v>249</v>
      </c>
      <c r="C41" s="299"/>
      <c r="D41" s="299"/>
      <c r="E41" s="299"/>
      <c r="F41" s="299"/>
      <c r="G41" s="299"/>
      <c r="H41" s="299"/>
      <c r="I41" s="299"/>
    </row>
    <row r="42" spans="2:4" ht="25.5" customHeight="1">
      <c r="B42" s="34"/>
      <c r="C42" s="34"/>
      <c r="D42" s="34"/>
    </row>
    <row r="43" spans="2:4" ht="15.75">
      <c r="B43" s="203" t="s">
        <v>79</v>
      </c>
      <c r="C43" s="203"/>
      <c r="D43" s="203"/>
    </row>
    <row r="44" spans="2:4" ht="15.75">
      <c r="B44" s="47" t="s">
        <v>250</v>
      </c>
      <c r="C44" s="47"/>
      <c r="D44" s="203"/>
    </row>
    <row r="45" spans="2:4" ht="15.75" customHeight="1">
      <c r="B45" s="206" t="s">
        <v>251</v>
      </c>
      <c r="C45" s="206"/>
      <c r="D45" s="206"/>
    </row>
    <row r="47" ht="15.75">
      <c r="B47" t="s">
        <v>246</v>
      </c>
    </row>
    <row r="48" ht="15.75">
      <c r="J48" s="85"/>
    </row>
    <row r="49" ht="15.75">
      <c r="J49" s="85"/>
    </row>
    <row r="50" ht="15.75">
      <c r="J50" s="85"/>
    </row>
    <row r="51" ht="15.75">
      <c r="J51" s="85"/>
    </row>
  </sheetData>
  <mergeCells count="37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7:F37"/>
    <mergeCell ref="B35:E35"/>
    <mergeCell ref="B36:F36"/>
    <mergeCell ref="B38:F38"/>
    <mergeCell ref="B39:F39"/>
    <mergeCell ref="B45:D45"/>
    <mergeCell ref="B41:I41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2013-03-01T05:12:07Z</cp:lastPrinted>
  <dcterms:created xsi:type="dcterms:W3CDTF">2009-08-26T03:25:10Z</dcterms:created>
  <dcterms:modified xsi:type="dcterms:W3CDTF">2013-05-08T05:03:44Z</dcterms:modified>
  <cp:category/>
  <cp:version/>
  <cp:contentType/>
  <cp:contentStatus/>
</cp:coreProperties>
</file>