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план2013" sheetId="7" state="hidden" r:id="rId7"/>
    <sheet name="отчет12(09-12)" sheetId="8" r:id="rId8"/>
    <sheet name="накопит отчет" sheetId="9" state="hidden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<sst xmlns="http://schemas.openxmlformats.org/spreadsheetml/2006/main" count="720" uniqueCount="253">
  <si>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</si>
  <si>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</si>
  <si>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</si>
  <si>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</si>
  <si>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</si>
  <si>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</si>
  <si>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</si>
  <si>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</si>
  <si>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</si>
  <si>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</si>
  <si>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</si>
  <si>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</si>
  <si>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</si>
  <si>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</si>
  <si>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</si>
  <si>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</si>
  <si>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</si>
  <si>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</si>
  <si>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</si>
  <si>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</si>
  <si>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</si>
  <si>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</si>
  <si>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</si>
  <si>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</si>
  <si>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</si>
  <si>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</si>
  <si>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</si>
  <si>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</si>
  <si>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</si>
  <si>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</si>
  <si>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</si>
  <si>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</si>
  <si>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</si>
  <si>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</si>
  <si>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</si>
  <si>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</si>
  <si>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</si>
  <si>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</si>
  <si>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</si>
  <si>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</si>
  <si>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</si>
  <si>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</si>
  <si>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</si>
  <si>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</si>
  <si>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</si>
  <si>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</si>
  <si>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</si>
  <si>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</si>
  <si>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</si>
  <si>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</si>
  <si>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</si>
  <si>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</si>
  <si>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</si>
  <si>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</si>
  <si>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</si>
  <si>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</si>
  <si>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</si>
  <si>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</si>
  <si>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</si>
  <si>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</si>
  <si>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</si>
  <si>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</si>
  <si>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</si>
  <si>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</si>
  <si>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</si>
  <si>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</si>
  <si>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</si>
  <si>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</si>
  <si>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</si>
  <si>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</si>
  <si>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</si>
  <si>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</si>
  <si>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</si>
  <si>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</si>
  <si>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</si>
  <si>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</si>
  <si>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</si>
  <si>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</si>
  <si>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</si>
  <si>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</si>
  <si>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</si>
  <si>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</si>
  <si>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</si>
  <si>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ОТЧЕТ
за  2009 г. о выполненнии условий  договора управления МКД
№214/6 от 28.03.2008 г., заключенного между ООО "ОЖКС №6" 
и собственниками многоквартирного дома
по адресу: ул. М. Жукова, 5</t>
  </si>
  <si>
    <t xml:space="preserve">                    Представитель собственников  - старший по дому Катаева Т.В.,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</si>
  <si>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5</t>
  </si>
  <si>
    <t>Старший по дому                                                                  Т.В. Катаева</t>
  </si>
  <si>
    <t>Претензий по управлению нет (да)</t>
  </si>
  <si>
    <t>ОТЧЕТ
о выполненных работах в 2008 году по договору управления МКД 
№214 от 28.03.2008 г., заключенного между ООО "ОЖКС №6" и собственниками многоквартирного дома
по адресу:  ул. м. Жукова, 5.</t>
  </si>
  <si>
    <t xml:space="preserve">            Представитель собственников  - старший по дому Катаева Т.В.,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</si>
  <si>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</si>
  <si>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</si>
  <si>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</si>
  <si>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</si>
  <si>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</si>
  <si>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</si>
  <si>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</si>
  <si>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</si>
  <si>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</si>
  <si>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</si>
  <si>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</si>
  <si>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</si>
  <si>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</si>
  <si>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</si>
  <si>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</si>
  <si>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</si>
  <si>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</si>
  <si>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</si>
  <si>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</si>
  <si>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</si>
  <si>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</si>
  <si>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</si>
  <si>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</si>
  <si>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</si>
  <si>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</si>
  <si>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</si>
  <si>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</si>
  <si>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</si>
  <si>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</si>
  <si>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</si>
  <si>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</si>
  <si>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</si>
  <si>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</si>
  <si>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</si>
  <si>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</si>
  <si>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</si>
  <si>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</si>
  <si>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</si>
  <si>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</si>
  <si>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</si>
  <si>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</si>
  <si>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</si>
  <si>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</si>
  <si>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</si>
  <si>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</si>
  <si>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</si>
  <si>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</si>
  <si>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</si>
  <si>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</si>
  <si>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</si>
  <si>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</si>
  <si>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</si>
  <si>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</si>
  <si>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</si>
  <si>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</si>
  <si>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</si>
  <si>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</si>
  <si>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</si>
  <si>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</si>
  <si>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</si>
  <si>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</si>
  <si>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</si>
  <si>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</si>
  <si>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</si>
  <si>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</si>
  <si>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</si>
  <si>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</si>
  <si>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</si>
  <si>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</si>
  <si>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</si>
  <si>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</si>
  <si>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</si>
  <si>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</si>
  <si>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</si>
  <si>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</si>
  <si>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</si>
  <si>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</si>
  <si>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</si>
  <si>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</si>
  <si>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</si>
  <si>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</si>
  <si>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</si>
  <si>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</si>
  <si>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</si>
  <si>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</si>
  <si>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</si>
  <si>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</si>
  <si>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</si>
  <si>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</si>
  <si>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</si>
  <si>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</si>
  <si>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</si>
  <si>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</si>
  <si>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</si>
  <si>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</si>
  <si>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</si>
  <si>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</si>
  <si>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</si>
  <si>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</si>
  <si>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</si>
  <si>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</si>
  <si>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</si>
  <si>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</si>
  <si>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</si>
  <si>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</si>
  <si>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№214/6 от 28.03.2008 г., заключенного между ООО "ОЖКС №6" 
и собственниками многоквартирного дома
по адресу: ул. М. Жукова, 5</t>
  </si>
  <si>
    <t xml:space="preserve">                     Представитель собственников  - старший по дому Катаева Т.В.,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</si>
  <si>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№214/6 от 28.03.2008 г., заключенного между ООО "ОЖКС №6" 
и собственниками многоквартирного дома
по адресу: ул. М. Жукова, 5</t>
  </si>
  <si>
    <t>Итого</t>
  </si>
  <si>
    <t>ОТЧЕТ
за  2011 г. о выполненнии условий  договора управления МКД 
№214/6 от 28.03.2008 г., заключенного между ООО "ОЖКС №6" 
и собственниками многоквартирного дома
по адресу: ул. М. Жукова, 5</t>
  </si>
  <si>
    <t xml:space="preserve">                     Представитель собственников  - старший по дому 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</si>
  <si>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мусоропроводов </t>
    </r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</si>
  <si>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</si>
  <si>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_______________________</t>
  </si>
  <si>
    <t xml:space="preserve"> Текущий ремонт общего имущества  </t>
  </si>
  <si>
    <t xml:space="preserve">Капитальный ремонт 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</si>
  <si>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</si>
  <si>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</si>
  <si>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* в случае уточнения площадей возможно изменение стоимости</t>
  </si>
  <si>
    <t>5=гр.4*Sдома*4мес.</t>
  </si>
  <si>
    <t>по плану работ</t>
  </si>
  <si>
    <t>1.1.</t>
  </si>
  <si>
    <t>1.2.</t>
  </si>
  <si>
    <t>1.3.</t>
  </si>
  <si>
    <t>подметание асфальта -   1 раз/неделю,                
подбор мусора - ежедневно</t>
  </si>
  <si>
    <t>Тариф с 1 сентября 2012 г. - 15,36 руб., капитальный ремонт - 0,80 руб.</t>
  </si>
  <si>
    <t>Тариф 
на 
1 кв.м. сентябрь-декабрь 2012г.
руб.</t>
  </si>
  <si>
    <t>Стоимость работ     сентябрь-декабрь 2012г.             руб.</t>
  </si>
  <si>
    <t xml:space="preserve">           Представитель собственников</t>
  </si>
  <si>
    <t xml:space="preserve">            ________________________</t>
  </si>
  <si>
    <t>________________ Л.И. Никашина</t>
  </si>
  <si>
    <t xml:space="preserve">Директор ООО "ОЖКС № 6"                                                                       </t>
  </si>
  <si>
    <t>71 , 1 нежилое помещение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</si>
  <si>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</si>
  <si>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</si>
  <si>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</si>
  <si>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</si>
  <si>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</si>
  <si>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</si>
  <si>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</si>
  <si>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</si>
  <si>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</si>
  <si>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</si>
  <si>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28/6 от 20.09.2012 г., 
заключенного между ООО "ОЖКС № 6"   
и собственниками многоквартирного дома
по адресу:  ул. М.Жукова, 5</t>
  </si>
  <si>
    <t xml:space="preserve"> - прочие доходы </t>
  </si>
  <si>
    <t>Исполнитель: Стыценкова И.А.</t>
  </si>
  <si>
    <t xml:space="preserve">Директор ООО "ОЖКС № 6"                                 </t>
  </si>
  <si>
    <t>_______________/___________/</t>
  </si>
  <si>
    <t>ОТЧЕТ
с 01.09.12г. по 31.12.12г. о выполненнии условий  договора управления МКД 
№ 28/6 от 20.09.12 г., заключенного между ООО "ОЖКС №6" 
и собственниками многоквартирного дома
по адресу: ул. М. Жукова, 5</t>
  </si>
  <si>
    <t xml:space="preserve">                       Совет МКД в лице 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01.09.12г. по 31.12.12г.</t>
  </si>
  <si>
    <t>кол-во мес по нов. дог-ру</t>
  </si>
  <si>
    <t>Сбор, вывоз  бытового мусора, содержание контейнерных площадок</t>
  </si>
  <si>
    <t xml:space="preserve">Директор ООО "ОЖКС № 6"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</si>
  <si>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</si>
  <si>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</si>
  <si>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Тариф 01.09.12г-31.12.12г.</t>
  </si>
  <si>
    <t>Сумма 
с 01.09.12г.-31.12.12г., руб.</t>
  </si>
  <si>
    <t xml:space="preserve">Финансовый результат с 01.09.12 - 31.12.12г. (+ экономия,- перерасход)                                                      </t>
  </si>
  <si>
    <t>результат
 за год
(+эконом., 
-перерасх.)</t>
  </si>
  <si>
    <t xml:space="preserve">____________ Л.И. Никашина                               </t>
  </si>
  <si>
    <t>Совет МКД</t>
  </si>
  <si>
    <t>ОТЧЕТ
по  договору на оказания услуг МКД 
№ 28/6 от 20.09.12 г., заключенного между ООО "ОЖКС №6" и собственниками многоквартирного дома
по адресу:  ул. М. Жукова, 5</t>
  </si>
  <si>
    <t>с 01.09.12г.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</si>
</sst>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4" fillId="0" borderId="33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83;&#1103;&#1077;&#1074;&#1072;,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1"/>
      <sheetName val="смета 2012"/>
      <sheetName val="09.12"/>
      <sheetName val="план2013"/>
      <sheetName val="отчет12(10-12)"/>
      <sheetName val="накопит отчет"/>
    </sheetNames>
    <sheetDataSet>
      <sheetData sheetId="4">
        <row r="37">
          <cell r="H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625" style="0" customWidth="1"/>
    <col min="5" max="5" width="11.875" style="0" customWidth="1"/>
  </cols>
  <sheetData>
    <row r="1" spans="1:4" ht="104.25" customHeight="1">
      <c r="A1" s="191" t="s">
        <v>88</v>
      </c>
      <c r="B1" s="192"/>
      <c r="C1" s="192"/>
      <c r="D1" s="192"/>
    </row>
    <row r="2" spans="1:5" ht="80.25" customHeight="1">
      <c r="A2" s="193" t="s">
        <v>89</v>
      </c>
      <c r="B2" s="194"/>
      <c r="C2" s="194"/>
      <c r="D2" s="194"/>
      <c r="E2" t="s">
        <v>80</v>
      </c>
    </row>
    <row r="3" spans="1:5" ht="36.7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3775.2</v>
      </c>
      <c r="E5" s="59">
        <v>3775.2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72</v>
      </c>
      <c r="E6" s="60">
        <v>72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368883.65</v>
      </c>
      <c r="E9" s="59">
        <v>368883.65</v>
      </c>
    </row>
    <row r="10" spans="1:5" ht="16.5" customHeight="1">
      <c r="A10" s="62"/>
      <c r="B10" s="35" t="s">
        <v>109</v>
      </c>
      <c r="C10" s="50" t="s">
        <v>108</v>
      </c>
      <c r="D10" s="59">
        <v>351875.97</v>
      </c>
      <c r="E10" s="59">
        <v>351875.97</v>
      </c>
    </row>
    <row r="11" spans="1:5" ht="15.75">
      <c r="A11" s="62"/>
      <c r="B11" s="57" t="s">
        <v>110</v>
      </c>
      <c r="C11" s="58" t="s">
        <v>108</v>
      </c>
      <c r="D11" s="63">
        <f>D9-D10</f>
        <v>17007.68000000005</v>
      </c>
      <c r="E11" s="63">
        <f>E9-E10</f>
        <v>17007.68000000005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19101.13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18674.62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426.51000000000204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6067.13</v>
      </c>
      <c r="E17" s="59">
        <v>6067.13</v>
      </c>
    </row>
    <row r="18" spans="1:5" ht="15.75" customHeight="1">
      <c r="A18" s="62"/>
      <c r="B18" s="35" t="s">
        <v>109</v>
      </c>
      <c r="C18" s="50" t="s">
        <v>108</v>
      </c>
      <c r="D18" s="59">
        <v>5301.63</v>
      </c>
      <c r="E18" s="59">
        <v>5301.63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765.5</v>
      </c>
      <c r="E19" s="63">
        <f>E17-E18</f>
        <v>765.5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394051.91000000003</v>
      </c>
      <c r="E20" s="63">
        <f>E9+E13+E17</f>
        <v>374950.78</v>
      </c>
    </row>
    <row r="21" spans="1:5" ht="15.75">
      <c r="A21" s="62"/>
      <c r="B21" s="57" t="s">
        <v>116</v>
      </c>
      <c r="C21" s="50" t="s">
        <v>108</v>
      </c>
      <c r="D21" s="63">
        <f>D11+D15+D19</f>
        <v>18199.690000000053</v>
      </c>
      <c r="E21" s="63">
        <f>E11+E15+E19</f>
        <v>17773.18000000005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40577.2015</v>
      </c>
      <c r="E23" s="63">
        <f>E9*0.11</f>
        <v>40577.2015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258218.555</v>
      </c>
      <c r="E24" s="63">
        <f>E9*0.7</f>
        <v>258218.555</v>
      </c>
      <c r="F24" t="s">
        <v>80</v>
      </c>
    </row>
    <row r="25" spans="1:5" ht="21" customHeight="1">
      <c r="A25" s="65" t="s">
        <v>123</v>
      </c>
      <c r="B25" s="57" t="s">
        <v>124</v>
      </c>
      <c r="C25" s="58" t="s">
        <v>108</v>
      </c>
      <c r="D25" s="67">
        <v>14200</v>
      </c>
      <c r="E25" s="67">
        <v>14200</v>
      </c>
    </row>
    <row r="26" spans="1:5" ht="1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312995.7565</v>
      </c>
      <c r="E27" s="63">
        <f>E23+E24+E25+E26</f>
        <v>312995.7565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81056.15350000001</v>
      </c>
      <c r="E28" s="59">
        <f>E20-E27</f>
        <v>61955.02350000001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62856.46349999996</v>
      </c>
      <c r="E29" s="59">
        <f>E28-E21</f>
        <v>44181.84349999996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95" t="s">
        <v>86</v>
      </c>
      <c r="C34" s="195"/>
      <c r="D34" s="44"/>
    </row>
    <row r="35" spans="2:4" ht="17.25" customHeight="1">
      <c r="B35" s="196" t="s">
        <v>131</v>
      </c>
      <c r="C35" s="196"/>
      <c r="D35" s="196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3" sqref="B3:E6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91" t="s">
        <v>83</v>
      </c>
      <c r="B1" s="191"/>
      <c r="C1" s="191"/>
      <c r="D1" s="191"/>
      <c r="E1" s="191"/>
      <c r="F1" s="191"/>
      <c r="G1" s="191"/>
      <c r="H1" s="191"/>
    </row>
    <row r="2" spans="1:8" ht="78" customHeight="1">
      <c r="A2" s="174" t="s">
        <v>84</v>
      </c>
      <c r="B2" s="174"/>
      <c r="C2" s="174"/>
      <c r="D2" s="174"/>
      <c r="E2" s="174"/>
      <c r="F2" s="174"/>
      <c r="G2" s="174"/>
      <c r="H2" s="174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3775.2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72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97"/>
      <c r="C7" s="197"/>
      <c r="D7" s="197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98" t="s">
        <v>64</v>
      </c>
      <c r="C8" s="199"/>
      <c r="D8" s="199"/>
      <c r="E8" s="199"/>
      <c r="F8" s="200"/>
      <c r="G8" s="15"/>
      <c r="H8" s="16"/>
    </row>
    <row r="9" spans="1:8" ht="15.75" customHeight="1">
      <c r="A9" s="23"/>
      <c r="B9" s="166" t="s">
        <v>73</v>
      </c>
      <c r="C9" s="166"/>
      <c r="D9" s="166"/>
      <c r="E9" s="166"/>
      <c r="F9" s="166"/>
      <c r="G9" s="15"/>
      <c r="H9" s="32">
        <v>40022.04</v>
      </c>
    </row>
    <row r="10" spans="1:8" ht="15.75">
      <c r="A10" s="23">
        <v>1</v>
      </c>
      <c r="B10" s="173" t="s">
        <v>62</v>
      </c>
      <c r="C10" s="173"/>
      <c r="D10" s="173"/>
      <c r="E10" s="173"/>
      <c r="F10" s="173"/>
      <c r="G10" s="17"/>
      <c r="H10" s="35">
        <v>558230.23</v>
      </c>
    </row>
    <row r="11" spans="1:8" ht="15.75">
      <c r="A11" s="23"/>
      <c r="B11" s="173" t="s">
        <v>75</v>
      </c>
      <c r="C11" s="173"/>
      <c r="D11" s="173"/>
      <c r="E11" s="173"/>
      <c r="F11" s="173"/>
      <c r="G11" s="17"/>
      <c r="H11" s="49">
        <f>H10*0.9</f>
        <v>502407.207</v>
      </c>
    </row>
    <row r="12" spans="1:8" ht="15.75">
      <c r="A12" s="23"/>
      <c r="B12" s="173" t="s">
        <v>76</v>
      </c>
      <c r="C12" s="173"/>
      <c r="D12" s="173"/>
      <c r="E12" s="173"/>
      <c r="F12" s="173"/>
      <c r="G12" s="17"/>
      <c r="H12" s="36">
        <f>H10-H11</f>
        <v>55823.02299999999</v>
      </c>
    </row>
    <row r="13" spans="1:8" ht="15.75">
      <c r="A13" s="23">
        <v>2</v>
      </c>
      <c r="B13" s="173" t="s">
        <v>63</v>
      </c>
      <c r="C13" s="173"/>
      <c r="D13" s="173"/>
      <c r="E13" s="173"/>
      <c r="F13" s="173"/>
      <c r="G13" s="17"/>
      <c r="H13" s="18">
        <v>516428.63</v>
      </c>
    </row>
    <row r="14" spans="1:8" ht="15.75">
      <c r="A14" s="23">
        <v>3</v>
      </c>
      <c r="B14" s="173" t="s">
        <v>67</v>
      </c>
      <c r="C14" s="173"/>
      <c r="D14" s="173"/>
      <c r="E14" s="173"/>
      <c r="F14" s="173"/>
      <c r="G14" s="17"/>
      <c r="H14" s="36">
        <f>H10-H13</f>
        <v>41801.59999999998</v>
      </c>
    </row>
    <row r="15" spans="1:9" ht="15.75">
      <c r="A15" s="23">
        <v>4</v>
      </c>
      <c r="B15" s="166" t="s">
        <v>74</v>
      </c>
      <c r="C15" s="166"/>
      <c r="D15" s="166"/>
      <c r="E15" s="166"/>
      <c r="F15" s="166"/>
      <c r="G15" s="17"/>
      <c r="H15" s="37">
        <f>H9+H10-H13</f>
        <v>81823.64000000001</v>
      </c>
      <c r="I15" s="31"/>
    </row>
    <row r="16" spans="1:8" ht="18.75">
      <c r="A16" s="23">
        <v>5</v>
      </c>
      <c r="B16" s="167" t="s">
        <v>65</v>
      </c>
      <c r="C16" s="167"/>
      <c r="D16" s="167"/>
      <c r="E16" s="167"/>
      <c r="F16" s="167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64" t="s">
        <v>18</v>
      </c>
      <c r="C18" s="164"/>
      <c r="D18" s="164"/>
      <c r="E18" s="6" t="s">
        <v>32</v>
      </c>
      <c r="F18" s="6" t="s">
        <v>24</v>
      </c>
      <c r="G18" s="12">
        <v>1.06</v>
      </c>
      <c r="H18" s="39">
        <f>ROUND(G18*$E$3*12,2)</f>
        <v>48020.54</v>
      </c>
    </row>
    <row r="19" spans="1:8" ht="15.75">
      <c r="A19" s="23" t="s">
        <v>41</v>
      </c>
      <c r="B19" s="164" t="s">
        <v>17</v>
      </c>
      <c r="C19" s="164"/>
      <c r="D19" s="164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11778.62</v>
      </c>
    </row>
    <row r="20" spans="1:8" ht="15.75">
      <c r="A20" s="26" t="s">
        <v>42</v>
      </c>
      <c r="B20" s="173" t="s">
        <v>23</v>
      </c>
      <c r="C20" s="173"/>
      <c r="D20" s="173"/>
      <c r="E20" s="7" t="s">
        <v>8</v>
      </c>
      <c r="F20" s="7" t="s">
        <v>20</v>
      </c>
      <c r="G20" s="12">
        <v>0.9</v>
      </c>
      <c r="H20" s="39">
        <f t="shared" si="0"/>
        <v>40772.16</v>
      </c>
    </row>
    <row r="21" spans="1:8" ht="33" customHeight="1">
      <c r="A21" s="23" t="s">
        <v>43</v>
      </c>
      <c r="B21" s="172" t="s">
        <v>31</v>
      </c>
      <c r="C21" s="172"/>
      <c r="D21" s="172"/>
      <c r="E21" s="8" t="s">
        <v>9</v>
      </c>
      <c r="F21" s="8" t="s">
        <v>10</v>
      </c>
      <c r="G21" s="12">
        <v>0.46</v>
      </c>
      <c r="H21" s="39">
        <f t="shared" si="0"/>
        <v>20839.1</v>
      </c>
    </row>
    <row r="22" spans="1:8" ht="63">
      <c r="A22" s="26" t="s">
        <v>46</v>
      </c>
      <c r="B22" s="173" t="s">
        <v>27</v>
      </c>
      <c r="C22" s="173"/>
      <c r="D22" s="173"/>
      <c r="E22" s="7" t="s">
        <v>34</v>
      </c>
      <c r="F22" s="7" t="s">
        <v>25</v>
      </c>
      <c r="G22" s="12">
        <v>0.11</v>
      </c>
      <c r="H22" s="39">
        <f t="shared" si="0"/>
        <v>4983.26</v>
      </c>
    </row>
    <row r="23" spans="1:8" ht="31.5">
      <c r="A23" s="23" t="s">
        <v>44</v>
      </c>
      <c r="B23" s="173" t="s">
        <v>11</v>
      </c>
      <c r="C23" s="173"/>
      <c r="D23" s="173"/>
      <c r="E23" s="7" t="s">
        <v>9</v>
      </c>
      <c r="F23" s="7" t="s">
        <v>12</v>
      </c>
      <c r="G23" s="12">
        <v>1.89</v>
      </c>
      <c r="H23" s="39">
        <f t="shared" si="0"/>
        <v>85621.54</v>
      </c>
    </row>
    <row r="24" spans="1:8" ht="15.75">
      <c r="A24" s="26" t="s">
        <v>45</v>
      </c>
      <c r="B24" s="173" t="s">
        <v>26</v>
      </c>
      <c r="C24" s="165"/>
      <c r="D24" s="165"/>
      <c r="E24" s="9" t="s">
        <v>13</v>
      </c>
      <c r="F24" s="9" t="s">
        <v>14</v>
      </c>
      <c r="G24" s="12">
        <v>0.04</v>
      </c>
      <c r="H24" s="39">
        <f t="shared" si="0"/>
        <v>1812.1</v>
      </c>
    </row>
    <row r="25" spans="1:8" ht="36.75" customHeight="1">
      <c r="A25" s="23" t="s">
        <v>47</v>
      </c>
      <c r="B25" s="168" t="s">
        <v>81</v>
      </c>
      <c r="C25" s="169"/>
      <c r="D25" s="160"/>
      <c r="E25" s="9" t="s">
        <v>13</v>
      </c>
      <c r="F25" s="45" t="s">
        <v>82</v>
      </c>
      <c r="G25" s="12">
        <v>0.22</v>
      </c>
      <c r="H25" s="39">
        <f t="shared" si="0"/>
        <v>9966.53</v>
      </c>
    </row>
    <row r="26" spans="1:8" ht="31.5">
      <c r="A26" s="26" t="s">
        <v>48</v>
      </c>
      <c r="B26" s="173" t="s">
        <v>71</v>
      </c>
      <c r="C26" s="173"/>
      <c r="D26" s="173"/>
      <c r="E26" s="6" t="s">
        <v>35</v>
      </c>
      <c r="F26" s="46" t="s">
        <v>82</v>
      </c>
      <c r="G26" s="12">
        <v>2.5</v>
      </c>
      <c r="H26" s="39">
        <f t="shared" si="0"/>
        <v>113256</v>
      </c>
    </row>
    <row r="27" spans="1:8" ht="31.5">
      <c r="A27" s="23" t="s">
        <v>49</v>
      </c>
      <c r="B27" s="164" t="s">
        <v>15</v>
      </c>
      <c r="C27" s="164"/>
      <c r="D27" s="164"/>
      <c r="E27" s="6" t="s">
        <v>35</v>
      </c>
      <c r="F27" s="46" t="s">
        <v>82</v>
      </c>
      <c r="G27" s="12">
        <v>0.46</v>
      </c>
      <c r="H27" s="39">
        <f t="shared" si="0"/>
        <v>20839.1</v>
      </c>
    </row>
    <row r="28" spans="1:8" ht="31.5">
      <c r="A28" s="26" t="s">
        <v>50</v>
      </c>
      <c r="B28" s="161" t="s">
        <v>36</v>
      </c>
      <c r="C28" s="162"/>
      <c r="D28" s="162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74295.94</v>
      </c>
    </row>
    <row r="29" spans="1:8" ht="31.5">
      <c r="A29" s="23" t="s">
        <v>51</v>
      </c>
      <c r="B29" s="173" t="s">
        <v>28</v>
      </c>
      <c r="C29" s="173"/>
      <c r="D29" s="173"/>
      <c r="E29" s="6" t="s">
        <v>35</v>
      </c>
      <c r="F29" s="46" t="s">
        <v>82</v>
      </c>
      <c r="G29" s="13">
        <v>0.25</v>
      </c>
      <c r="H29" s="39">
        <f t="shared" si="0"/>
        <v>11325.6</v>
      </c>
    </row>
    <row r="30" spans="1:8" ht="31.5">
      <c r="A30" s="26" t="s">
        <v>52</v>
      </c>
      <c r="B30" s="173" t="s">
        <v>29</v>
      </c>
      <c r="C30" s="173"/>
      <c r="D30" s="173"/>
      <c r="E30" s="6" t="s">
        <v>35</v>
      </c>
      <c r="F30" s="46" t="s">
        <v>82</v>
      </c>
      <c r="G30" s="13">
        <v>0.25</v>
      </c>
      <c r="H30" s="39">
        <f t="shared" si="0"/>
        <v>11325.6</v>
      </c>
    </row>
    <row r="31" spans="1:8" ht="31.5">
      <c r="A31" s="23" t="s">
        <v>53</v>
      </c>
      <c r="B31" s="165" t="s">
        <v>21</v>
      </c>
      <c r="C31" s="165"/>
      <c r="D31" s="165"/>
      <c r="E31" s="6" t="s">
        <v>35</v>
      </c>
      <c r="F31" s="46" t="s">
        <v>82</v>
      </c>
      <c r="G31" s="9">
        <v>1.26</v>
      </c>
      <c r="H31" s="39">
        <f t="shared" si="0"/>
        <v>57081.02</v>
      </c>
    </row>
    <row r="32" spans="1:8" ht="15.75">
      <c r="A32" s="23" t="s">
        <v>54</v>
      </c>
      <c r="B32" s="163" t="s">
        <v>30</v>
      </c>
      <c r="C32" s="163"/>
      <c r="D32" s="163"/>
      <c r="E32" s="14"/>
      <c r="F32" s="46"/>
      <c r="G32" s="21">
        <f>SUM(G18:G31)</f>
        <v>11.299999999999999</v>
      </c>
      <c r="H32" s="40">
        <f>SUM(H18:H31)</f>
        <v>511917.1099999999</v>
      </c>
    </row>
    <row r="33" spans="1:8" ht="15.75">
      <c r="A33" s="23" t="s">
        <v>55</v>
      </c>
      <c r="B33" s="166" t="s">
        <v>37</v>
      </c>
      <c r="C33" s="165"/>
      <c r="D33" s="165"/>
      <c r="E33" s="14"/>
      <c r="F33" s="46" t="s">
        <v>82</v>
      </c>
      <c r="G33" s="24">
        <f>H33/E3/12</f>
        <v>0.9213639895458078</v>
      </c>
      <c r="H33" s="28">
        <v>41740</v>
      </c>
    </row>
    <row r="34" spans="1:8" ht="18.75">
      <c r="A34" s="25" t="s">
        <v>56</v>
      </c>
      <c r="B34" s="207" t="s">
        <v>69</v>
      </c>
      <c r="C34" s="207"/>
      <c r="D34" s="207"/>
      <c r="E34" s="207"/>
      <c r="F34" s="207"/>
      <c r="G34" s="5">
        <f>SUM(G32:G33)</f>
        <v>12.221363989545807</v>
      </c>
      <c r="H34" s="41">
        <f>SUM(H32:H33)</f>
        <v>553657.1099999999</v>
      </c>
    </row>
    <row r="35" spans="1:8" ht="18.75">
      <c r="A35" s="23" t="s">
        <v>61</v>
      </c>
      <c r="B35" s="204" t="s">
        <v>38</v>
      </c>
      <c r="C35" s="205"/>
      <c r="D35" s="205"/>
      <c r="E35" s="205"/>
      <c r="F35" s="205"/>
      <c r="G35" s="206"/>
      <c r="H35" s="29"/>
    </row>
    <row r="36" spans="1:8" ht="15.75" customHeight="1">
      <c r="A36" s="23" t="s">
        <v>57</v>
      </c>
      <c r="B36" s="201" t="s">
        <v>68</v>
      </c>
      <c r="C36" s="202"/>
      <c r="D36" s="202"/>
      <c r="E36" s="202"/>
      <c r="F36" s="202"/>
      <c r="G36" s="203"/>
      <c r="H36" s="30">
        <v>44181.84</v>
      </c>
    </row>
    <row r="37" spans="1:8" ht="15.75" customHeight="1">
      <c r="A37" s="23" t="s">
        <v>58</v>
      </c>
      <c r="B37" s="201" t="s">
        <v>72</v>
      </c>
      <c r="C37" s="202"/>
      <c r="D37" s="202"/>
      <c r="E37" s="202"/>
      <c r="F37" s="202"/>
      <c r="G37" s="203"/>
      <c r="H37" s="42">
        <f>H13-H34</f>
        <v>-37228.479999999865</v>
      </c>
    </row>
    <row r="38" spans="1:8" ht="15.75" customHeight="1">
      <c r="A38" s="23" t="s">
        <v>59</v>
      </c>
      <c r="B38" s="201" t="s">
        <v>70</v>
      </c>
      <c r="C38" s="202"/>
      <c r="D38" s="202"/>
      <c r="E38" s="202"/>
      <c r="F38" s="202"/>
      <c r="G38" s="203"/>
      <c r="H38" s="42">
        <f>H36+H37</f>
        <v>6953.360000000132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96" t="s">
        <v>87</v>
      </c>
      <c r="C44" s="196"/>
      <c r="D44" s="196"/>
    </row>
  </sheetData>
  <sheetProtection/>
  <mergeCells count="34"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13.3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91" t="s">
        <v>195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54" customHeight="1">
      <c r="A2" s="208" t="s">
        <v>196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3775.2</v>
      </c>
      <c r="F3" s="2"/>
      <c r="I3" s="87">
        <v>62.4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100</v>
      </c>
    </row>
    <row r="5" spans="2:9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139</v>
      </c>
    </row>
    <row r="7" spans="1:10" ht="39" customHeight="1">
      <c r="A7" s="22" t="s">
        <v>60</v>
      </c>
      <c r="B7" s="209" t="s">
        <v>140</v>
      </c>
      <c r="C7" s="210"/>
      <c r="D7" s="211"/>
      <c r="E7" s="11" t="s">
        <v>6</v>
      </c>
      <c r="F7" s="11" t="s">
        <v>7</v>
      </c>
      <c r="G7" s="33" t="s">
        <v>22</v>
      </c>
      <c r="H7" s="212" t="s">
        <v>141</v>
      </c>
      <c r="I7" s="213"/>
      <c r="J7" s="214"/>
    </row>
    <row r="8" spans="1:10" ht="15.75">
      <c r="A8" s="23">
        <v>1</v>
      </c>
      <c r="B8" s="198"/>
      <c r="C8" s="199"/>
      <c r="D8" s="199"/>
      <c r="E8" s="199"/>
      <c r="F8" s="200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198" t="s">
        <v>145</v>
      </c>
      <c r="C9" s="199"/>
      <c r="D9" s="199"/>
      <c r="E9" s="199"/>
      <c r="F9" s="200"/>
      <c r="G9" s="78"/>
      <c r="H9" s="78"/>
      <c r="I9" s="58"/>
      <c r="J9" s="91"/>
    </row>
    <row r="10" spans="1:10" ht="15.75" customHeight="1">
      <c r="A10" s="92"/>
      <c r="B10" s="215" t="s">
        <v>146</v>
      </c>
      <c r="C10" s="215"/>
      <c r="D10" s="215"/>
      <c r="E10" s="215"/>
      <c r="F10" s="215"/>
      <c r="G10" s="15"/>
      <c r="H10" s="93">
        <v>560228.11</v>
      </c>
      <c r="I10" s="75"/>
      <c r="J10" s="94">
        <f>H10+I10</f>
        <v>560228.11</v>
      </c>
    </row>
    <row r="11" spans="1:10" ht="15.75" customHeight="1">
      <c r="A11" s="92"/>
      <c r="B11" s="215" t="s">
        <v>147</v>
      </c>
      <c r="C11" s="215"/>
      <c r="D11" s="215"/>
      <c r="E11" s="215"/>
      <c r="F11" s="215"/>
      <c r="G11" s="15"/>
      <c r="H11" s="16">
        <v>24220.66</v>
      </c>
      <c r="I11" s="75"/>
      <c r="J11" s="94">
        <f>H11+I11</f>
        <v>24220.66</v>
      </c>
    </row>
    <row r="12" spans="1:10" ht="15.75" customHeight="1">
      <c r="A12" s="23"/>
      <c r="B12" s="215" t="s">
        <v>148</v>
      </c>
      <c r="C12" s="215"/>
      <c r="D12" s="215"/>
      <c r="E12" s="215"/>
      <c r="F12" s="215"/>
      <c r="G12" s="15"/>
      <c r="H12" s="93"/>
      <c r="I12" s="75">
        <v>1654.84</v>
      </c>
      <c r="J12" s="94">
        <f>H12+I12</f>
        <v>1654.84</v>
      </c>
    </row>
    <row r="13" spans="1:10" ht="15.75" customHeight="1">
      <c r="A13" s="23"/>
      <c r="B13" s="215" t="s">
        <v>149</v>
      </c>
      <c r="C13" s="215"/>
      <c r="D13" s="215"/>
      <c r="E13" s="215"/>
      <c r="F13" s="215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166" t="s">
        <v>150</v>
      </c>
      <c r="C14" s="166"/>
      <c r="D14" s="166"/>
      <c r="E14" s="166"/>
      <c r="F14" s="166"/>
      <c r="G14" s="15"/>
      <c r="H14" s="96">
        <f>SUM(H10:H12)</f>
        <v>584448.77</v>
      </c>
      <c r="I14" s="97">
        <f>SUM(I10:I12)</f>
        <v>1654.84</v>
      </c>
      <c r="J14" s="96">
        <f>SUM(J10:J12)</f>
        <v>586103.61</v>
      </c>
    </row>
    <row r="15" spans="1:10" ht="18.75" customHeight="1">
      <c r="A15" s="23">
        <v>2</v>
      </c>
      <c r="B15" s="167" t="s">
        <v>65</v>
      </c>
      <c r="C15" s="167"/>
      <c r="D15" s="167"/>
      <c r="E15" s="167"/>
      <c r="F15" s="167"/>
      <c r="G15" s="15"/>
      <c r="H15" s="93"/>
      <c r="I15" s="75"/>
      <c r="J15" s="35"/>
    </row>
    <row r="16" spans="1:10" ht="15.75">
      <c r="A16" s="23" t="s">
        <v>151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18" t="s">
        <v>152</v>
      </c>
      <c r="C17" s="218"/>
      <c r="D17" s="218"/>
      <c r="E17" s="98" t="s">
        <v>32</v>
      </c>
      <c r="F17" s="80" t="s">
        <v>24</v>
      </c>
      <c r="G17" s="81">
        <v>1.06</v>
      </c>
      <c r="H17" s="99">
        <f>ROUND(G17*$E$3*12,2)</f>
        <v>48020.54</v>
      </c>
      <c r="I17" s="100">
        <f>$I$12*0.08</f>
        <v>132.3872</v>
      </c>
      <c r="J17" s="101">
        <f>SUM(H17:I17)</f>
        <v>48152.9272</v>
      </c>
    </row>
    <row r="18" spans="1:10" ht="36" customHeight="1">
      <c r="A18" s="23"/>
      <c r="B18" s="219" t="s">
        <v>17</v>
      </c>
      <c r="C18" s="219"/>
      <c r="D18" s="219"/>
      <c r="E18" s="98" t="s">
        <v>32</v>
      </c>
      <c r="F18" s="80" t="s">
        <v>19</v>
      </c>
      <c r="G18" s="81">
        <v>0.26</v>
      </c>
      <c r="H18" s="99">
        <f>ROUND(G18*$E$3*12,2)</f>
        <v>11778.62</v>
      </c>
      <c r="I18" s="100">
        <f>$I$12*0.02</f>
        <v>33.0968</v>
      </c>
      <c r="J18" s="101">
        <f>SUM(H18:I18)</f>
        <v>11811.7168</v>
      </c>
    </row>
    <row r="19" spans="1:10" ht="20.25" customHeight="1">
      <c r="A19" s="23"/>
      <c r="B19" s="216" t="s">
        <v>23</v>
      </c>
      <c r="C19" s="216"/>
      <c r="D19" s="216"/>
      <c r="E19" s="102" t="s">
        <v>153</v>
      </c>
      <c r="F19" s="83" t="s">
        <v>20</v>
      </c>
      <c r="G19" s="81">
        <v>0.9</v>
      </c>
      <c r="H19" s="99">
        <f>J19-I19</f>
        <v>36200.5812</v>
      </c>
      <c r="I19" s="100">
        <f>$I$12*0.07</f>
        <v>115.8388</v>
      </c>
      <c r="J19" s="103">
        <v>36316.42</v>
      </c>
    </row>
    <row r="20" spans="1:10" ht="20.25" customHeight="1">
      <c r="A20" s="26"/>
      <c r="B20" s="218" t="s">
        <v>31</v>
      </c>
      <c r="C20" s="218"/>
      <c r="D20" s="218"/>
      <c r="E20" s="104" t="s">
        <v>9</v>
      </c>
      <c r="F20" s="84" t="s">
        <v>10</v>
      </c>
      <c r="G20" s="81">
        <v>0.46</v>
      </c>
      <c r="H20" s="99">
        <f>ROUND(G20*$E$3*12,2)</f>
        <v>20839.1</v>
      </c>
      <c r="I20" s="100">
        <f>$I$12*0.04</f>
        <v>66.1936</v>
      </c>
      <c r="J20" s="101">
        <f>SUM(H20:I20)</f>
        <v>20905.293599999997</v>
      </c>
    </row>
    <row r="21" spans="1:10" ht="65.25" customHeight="1">
      <c r="A21" s="23"/>
      <c r="B21" s="216" t="s">
        <v>27</v>
      </c>
      <c r="C21" s="216"/>
      <c r="D21" s="216"/>
      <c r="E21" s="102" t="s">
        <v>154</v>
      </c>
      <c r="F21" s="83" t="s">
        <v>25</v>
      </c>
      <c r="G21" s="81">
        <v>0.11</v>
      </c>
      <c r="H21" s="99">
        <f>J21-I21</f>
        <v>2646.9316</v>
      </c>
      <c r="I21" s="100">
        <f>$I$12*0.01</f>
        <v>16.5484</v>
      </c>
      <c r="J21" s="103">
        <v>2663.48</v>
      </c>
    </row>
    <row r="22" spans="1:10" ht="20.25" customHeight="1">
      <c r="A22" s="26"/>
      <c r="B22" s="216" t="s">
        <v>11</v>
      </c>
      <c r="C22" s="216"/>
      <c r="D22" s="216"/>
      <c r="E22" s="102" t="s">
        <v>9</v>
      </c>
      <c r="F22" s="83" t="s">
        <v>12</v>
      </c>
      <c r="G22" s="81">
        <v>1.93</v>
      </c>
      <c r="H22" s="99">
        <f>J22-I22</f>
        <v>87185.406</v>
      </c>
      <c r="I22" s="100">
        <f>$I$12*0.15</f>
        <v>248.22599999999997</v>
      </c>
      <c r="J22" s="103">
        <f>G22*E3*12</f>
        <v>87433.632</v>
      </c>
    </row>
    <row r="23" spans="1:10" ht="31.5" customHeight="1">
      <c r="A23" s="26"/>
      <c r="B23" s="216" t="s">
        <v>26</v>
      </c>
      <c r="C23" s="217"/>
      <c r="D23" s="217"/>
      <c r="E23" s="105" t="s">
        <v>13</v>
      </c>
      <c r="F23" s="77" t="s">
        <v>14</v>
      </c>
      <c r="G23" s="81">
        <v>0.04</v>
      </c>
      <c r="H23" s="99">
        <f>J23-I23</f>
        <v>5311.015479999999</v>
      </c>
      <c r="I23" s="100">
        <f>$I$12*0.003</f>
        <v>4.96452</v>
      </c>
      <c r="J23" s="103">
        <v>5315.98</v>
      </c>
    </row>
    <row r="24" spans="1:10" ht="28.5" customHeight="1">
      <c r="A24" s="23"/>
      <c r="B24" s="216" t="s">
        <v>71</v>
      </c>
      <c r="C24" s="216"/>
      <c r="D24" s="216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84715.49</v>
      </c>
      <c r="I24" s="100">
        <f>$I$12*0.19</f>
        <v>314.4196</v>
      </c>
      <c r="J24" s="101">
        <f aca="true" t="shared" si="1" ref="J24:J29">SUM(H24:I24)</f>
        <v>85029.9096</v>
      </c>
    </row>
    <row r="25" spans="1:10" ht="26.25" customHeight="1">
      <c r="A25" s="23"/>
      <c r="B25" s="219" t="s">
        <v>15</v>
      </c>
      <c r="C25" s="219"/>
      <c r="D25" s="219"/>
      <c r="E25" s="98" t="s">
        <v>35</v>
      </c>
      <c r="F25" s="46" t="s">
        <v>82</v>
      </c>
      <c r="G25" s="81">
        <v>0.46</v>
      </c>
      <c r="H25" s="106">
        <f t="shared" si="0"/>
        <v>20839.1</v>
      </c>
      <c r="I25" s="100">
        <v>0</v>
      </c>
      <c r="J25" s="101">
        <f t="shared" si="1"/>
        <v>20839.1</v>
      </c>
    </row>
    <row r="26" spans="1:10" ht="30" customHeight="1">
      <c r="A26" s="23"/>
      <c r="B26" s="226" t="s">
        <v>36</v>
      </c>
      <c r="C26" s="224"/>
      <c r="D26" s="225"/>
      <c r="E26" s="98" t="s">
        <v>35</v>
      </c>
      <c r="F26" s="46" t="s">
        <v>82</v>
      </c>
      <c r="G26" s="48">
        <f>2.99-G27-G28</f>
        <v>2.49</v>
      </c>
      <c r="H26" s="106">
        <f t="shared" si="0"/>
        <v>112802.98</v>
      </c>
      <c r="I26" s="107">
        <f>$I$12*0.18</f>
        <v>297.8712</v>
      </c>
      <c r="J26" s="101">
        <f t="shared" si="1"/>
        <v>113100.85119999999</v>
      </c>
    </row>
    <row r="27" spans="1:10" ht="26.25" customHeight="1">
      <c r="A27" s="26"/>
      <c r="B27" s="216" t="s">
        <v>155</v>
      </c>
      <c r="C27" s="216"/>
      <c r="D27" s="216"/>
      <c r="E27" s="98" t="s">
        <v>35</v>
      </c>
      <c r="F27" s="46" t="s">
        <v>82</v>
      </c>
      <c r="G27" s="48">
        <v>0.25</v>
      </c>
      <c r="H27" s="106">
        <f t="shared" si="0"/>
        <v>11325.6</v>
      </c>
      <c r="I27" s="107">
        <f>$I$12*0.02</f>
        <v>33.0968</v>
      </c>
      <c r="J27" s="101">
        <f t="shared" si="1"/>
        <v>11358.6968</v>
      </c>
    </row>
    <row r="28" spans="1:10" ht="28.5" customHeight="1">
      <c r="A28" s="23"/>
      <c r="B28" s="216" t="s">
        <v>156</v>
      </c>
      <c r="C28" s="216"/>
      <c r="D28" s="216"/>
      <c r="E28" s="102" t="s">
        <v>9</v>
      </c>
      <c r="F28" s="46" t="s">
        <v>82</v>
      </c>
      <c r="G28" s="48">
        <v>0.25</v>
      </c>
      <c r="H28" s="106">
        <f t="shared" si="0"/>
        <v>11325.6</v>
      </c>
      <c r="I28" s="107">
        <v>0</v>
      </c>
      <c r="J28" s="101">
        <f t="shared" si="1"/>
        <v>11325.6</v>
      </c>
    </row>
    <row r="29" spans="1:10" ht="27" customHeight="1">
      <c r="A29" s="23"/>
      <c r="B29" s="217" t="s">
        <v>21</v>
      </c>
      <c r="C29" s="217"/>
      <c r="D29" s="217"/>
      <c r="E29" s="102" t="s">
        <v>9</v>
      </c>
      <c r="F29" s="46" t="s">
        <v>82</v>
      </c>
      <c r="G29" s="77">
        <v>1.26</v>
      </c>
      <c r="H29" s="99">
        <f t="shared" si="0"/>
        <v>57081.02</v>
      </c>
      <c r="I29" s="100">
        <f>$I$12*0.1</f>
        <v>165.484</v>
      </c>
      <c r="J29" s="101">
        <f t="shared" si="1"/>
        <v>57246.50399999999</v>
      </c>
    </row>
    <row r="30" spans="1:10" ht="21.75" customHeight="1">
      <c r="A30" s="23"/>
      <c r="B30" s="220" t="s">
        <v>157</v>
      </c>
      <c r="C30" s="221"/>
      <c r="D30" s="222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20" t="s">
        <v>158</v>
      </c>
      <c r="C31" s="221"/>
      <c r="D31" s="222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223"/>
      <c r="C32" s="224"/>
      <c r="D32" s="225"/>
      <c r="E32" s="102"/>
      <c r="F32" s="46"/>
      <c r="G32" s="77"/>
      <c r="H32" s="106"/>
      <c r="I32" s="95"/>
      <c r="J32" s="108"/>
    </row>
    <row r="33" spans="1:10" ht="15.75">
      <c r="A33" s="23"/>
      <c r="B33" s="223"/>
      <c r="C33" s="224"/>
      <c r="D33" s="225"/>
      <c r="E33" s="102"/>
      <c r="F33" s="46"/>
      <c r="G33" s="77"/>
      <c r="H33" s="106"/>
      <c r="I33" s="95"/>
      <c r="J33" s="108"/>
    </row>
    <row r="34" spans="1:10" ht="15.75">
      <c r="A34" s="23"/>
      <c r="B34" s="163" t="s">
        <v>30</v>
      </c>
      <c r="C34" s="163"/>
      <c r="D34" s="163"/>
      <c r="E34" s="14"/>
      <c r="F34" s="46"/>
      <c r="G34" s="21">
        <f>SUM(G17:G29)</f>
        <v>11.34</v>
      </c>
      <c r="H34" s="40">
        <f>SUM(H17:H33)</f>
        <v>510071.9842799999</v>
      </c>
      <c r="I34" s="109">
        <f>SUM(I17:I33)</f>
        <v>1428.12692</v>
      </c>
      <c r="J34" s="40">
        <f>SUM(J17:J33)</f>
        <v>511500.1111999999</v>
      </c>
    </row>
    <row r="35" spans="1:10" ht="15" customHeight="1">
      <c r="A35" s="23" t="s">
        <v>159</v>
      </c>
      <c r="B35" s="227" t="s">
        <v>160</v>
      </c>
      <c r="C35" s="228"/>
      <c r="D35" s="228"/>
      <c r="E35" s="229"/>
      <c r="F35" s="46" t="s">
        <v>82</v>
      </c>
      <c r="G35" s="24">
        <f>H35/E3/12</f>
        <v>6.147797909161546</v>
      </c>
      <c r="H35" s="28">
        <v>278510</v>
      </c>
      <c r="I35" s="110">
        <v>0</v>
      </c>
      <c r="J35" s="96">
        <f>SUM(H35:I35)</f>
        <v>278510</v>
      </c>
    </row>
    <row r="36" spans="1:10" ht="14.25" customHeight="1">
      <c r="A36" s="25"/>
      <c r="B36" s="230" t="s">
        <v>69</v>
      </c>
      <c r="C36" s="230"/>
      <c r="D36" s="230"/>
      <c r="E36" s="230"/>
      <c r="F36" s="230"/>
      <c r="G36" s="5">
        <f>SUM(G34:G35)</f>
        <v>17.487797909161547</v>
      </c>
      <c r="H36" s="41">
        <f>SUM(H34:H35)</f>
        <v>788581.98428</v>
      </c>
      <c r="I36" s="111">
        <f>SUM(I34:I35)</f>
        <v>1428.12692</v>
      </c>
      <c r="J36" s="41">
        <f>SUM(J34:J35)</f>
        <v>790010.1111999999</v>
      </c>
    </row>
    <row r="37" spans="1:10" ht="15.75">
      <c r="A37" s="23" t="s">
        <v>161</v>
      </c>
      <c r="B37" s="231" t="s">
        <v>162</v>
      </c>
      <c r="C37" s="231"/>
      <c r="D37" s="231"/>
      <c r="E37" s="231"/>
      <c r="F37" s="231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230" t="s">
        <v>163</v>
      </c>
      <c r="C38" s="230"/>
      <c r="D38" s="230"/>
      <c r="E38" s="230"/>
      <c r="F38" s="230"/>
      <c r="G38" s="5">
        <f>SUM(G36:G37)</f>
        <v>17.487797909161547</v>
      </c>
      <c r="H38" s="41">
        <f>SUM(H36:H37)</f>
        <v>788581.98428</v>
      </c>
      <c r="I38" s="111">
        <f>SUM(I36:I37)</f>
        <v>1428.12692</v>
      </c>
      <c r="J38" s="41">
        <f>SUM(J36:J37)</f>
        <v>790010.1111999999</v>
      </c>
    </row>
    <row r="39" spans="1:10" ht="15.75" customHeight="1">
      <c r="A39" s="23">
        <v>3</v>
      </c>
      <c r="B39" s="232" t="s">
        <v>164</v>
      </c>
      <c r="C39" s="233"/>
      <c r="D39" s="233"/>
      <c r="E39" s="233"/>
      <c r="F39" s="233"/>
      <c r="G39" s="234"/>
      <c r="H39" s="115">
        <f>H14-H38</f>
        <v>-204133.21427999996</v>
      </c>
      <c r="I39" s="99">
        <f>I14-I38</f>
        <v>226.71308</v>
      </c>
      <c r="J39" s="116">
        <f>J14-J38</f>
        <v>-203906.50119999994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86</v>
      </c>
      <c r="C43" s="47"/>
      <c r="D43" s="44"/>
    </row>
    <row r="44" spans="2:4" ht="15.75">
      <c r="B44" s="196" t="s">
        <v>87</v>
      </c>
      <c r="C44" s="196"/>
      <c r="D44" s="196"/>
    </row>
  </sheetData>
  <sheetProtection/>
  <mergeCells count="36">
    <mergeCell ref="B33:D33"/>
    <mergeCell ref="B34:D34"/>
    <mergeCell ref="B35:E35"/>
    <mergeCell ref="B44:D44"/>
    <mergeCell ref="B36:F36"/>
    <mergeCell ref="B37:F37"/>
    <mergeCell ref="B38:F38"/>
    <mergeCell ref="B39:G39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191" t="s">
        <v>197</v>
      </c>
      <c r="B1" s="191"/>
      <c r="C1" s="191"/>
      <c r="D1" s="191"/>
      <c r="E1" s="191"/>
      <c r="F1" s="191"/>
      <c r="G1" s="191"/>
      <c r="H1" s="191"/>
    </row>
    <row r="2" spans="1:6" ht="18.75">
      <c r="A2" s="1" t="s">
        <v>77</v>
      </c>
      <c r="B2" s="1" t="s">
        <v>85</v>
      </c>
      <c r="C2" s="2"/>
      <c r="D2" s="2" t="s">
        <v>0</v>
      </c>
      <c r="E2" s="4">
        <v>3775.2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72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46" t="s">
        <v>140</v>
      </c>
      <c r="C6" s="247"/>
      <c r="D6" s="248"/>
      <c r="E6" s="73" t="s">
        <v>6</v>
      </c>
      <c r="F6" s="73" t="s">
        <v>7</v>
      </c>
      <c r="G6" s="118" t="s">
        <v>189</v>
      </c>
      <c r="H6" s="119" t="s">
        <v>132</v>
      </c>
    </row>
    <row r="7" spans="1:8" ht="15.75" customHeight="1">
      <c r="A7" s="74">
        <v>1</v>
      </c>
      <c r="B7" s="249" t="s">
        <v>133</v>
      </c>
      <c r="C7" s="249"/>
      <c r="D7" s="249"/>
      <c r="E7" s="249"/>
      <c r="F7" s="249"/>
      <c r="G7" s="75"/>
      <c r="H7" s="76"/>
    </row>
    <row r="8" spans="1:8" ht="15.75" customHeight="1">
      <c r="A8" s="74"/>
      <c r="B8" s="166" t="s">
        <v>190</v>
      </c>
      <c r="C8" s="166"/>
      <c r="D8" s="166"/>
      <c r="E8" s="166"/>
      <c r="F8" s="166"/>
      <c r="G8" s="24">
        <f>G31</f>
        <v>14.489999999999995</v>
      </c>
      <c r="H8" s="76">
        <f>ROUND($E$2*G8*12,0)</f>
        <v>656432</v>
      </c>
    </row>
    <row r="9" spans="1:8" ht="15.75" customHeight="1">
      <c r="A9" s="74"/>
      <c r="B9" s="250" t="s">
        <v>134</v>
      </c>
      <c r="C9" s="250"/>
      <c r="D9" s="250"/>
      <c r="E9" s="250"/>
      <c r="F9" s="250"/>
      <c r="G9" s="23">
        <v>0.76</v>
      </c>
      <c r="H9" s="76">
        <f>ROUND($E$2*G9*12,0)</f>
        <v>34430</v>
      </c>
    </row>
    <row r="10" spans="1:8" ht="15.75" customHeight="1">
      <c r="A10" s="74">
        <v>2</v>
      </c>
      <c r="B10" s="167" t="s">
        <v>65</v>
      </c>
      <c r="C10" s="167"/>
      <c r="D10" s="167"/>
      <c r="E10" s="167"/>
      <c r="F10" s="167"/>
      <c r="G10" s="77"/>
      <c r="H10" s="76"/>
    </row>
    <row r="11" spans="1:8" ht="18.75" customHeight="1">
      <c r="A11" s="74" t="s">
        <v>151</v>
      </c>
      <c r="B11" s="19" t="s">
        <v>66</v>
      </c>
      <c r="C11" s="19"/>
      <c r="D11" s="19"/>
      <c r="E11" s="19"/>
      <c r="F11" s="5"/>
      <c r="G11" s="78"/>
      <c r="H11" s="76"/>
    </row>
    <row r="12" spans="1:8" ht="29.25" customHeight="1">
      <c r="A12" s="79"/>
      <c r="B12" s="235" t="s">
        <v>152</v>
      </c>
      <c r="C12" s="235"/>
      <c r="D12" s="235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55269</v>
      </c>
    </row>
    <row r="13" spans="1:9" ht="15.75" customHeight="1">
      <c r="A13" s="79"/>
      <c r="B13" s="235" t="s">
        <v>17</v>
      </c>
      <c r="C13" s="235"/>
      <c r="D13" s="235"/>
      <c r="E13" s="98" t="s">
        <v>32</v>
      </c>
      <c r="F13" s="80" t="s">
        <v>19</v>
      </c>
      <c r="G13" s="81">
        <v>0.28</v>
      </c>
      <c r="H13" s="82">
        <f t="shared" si="0"/>
        <v>12685</v>
      </c>
      <c r="I13" s="31"/>
    </row>
    <row r="14" spans="1:8" ht="18.75" customHeight="1">
      <c r="A14" s="79"/>
      <c r="B14" s="236" t="s">
        <v>23</v>
      </c>
      <c r="C14" s="236"/>
      <c r="D14" s="236"/>
      <c r="E14" s="102" t="s">
        <v>153</v>
      </c>
      <c r="F14" s="83" t="s">
        <v>20</v>
      </c>
      <c r="G14" s="81">
        <v>0.99</v>
      </c>
      <c r="H14" s="82">
        <f t="shared" si="0"/>
        <v>44849</v>
      </c>
    </row>
    <row r="15" spans="1:8" ht="15.75" customHeight="1">
      <c r="A15" s="79"/>
      <c r="B15" s="237" t="s">
        <v>31</v>
      </c>
      <c r="C15" s="237"/>
      <c r="D15" s="237"/>
      <c r="E15" s="104" t="s">
        <v>9</v>
      </c>
      <c r="F15" s="84" t="s">
        <v>10</v>
      </c>
      <c r="G15" s="81">
        <v>0.51</v>
      </c>
      <c r="H15" s="82">
        <f t="shared" si="0"/>
        <v>23104</v>
      </c>
    </row>
    <row r="16" spans="1:8" ht="31.5" customHeight="1">
      <c r="A16" s="79"/>
      <c r="B16" s="236" t="s">
        <v>27</v>
      </c>
      <c r="C16" s="236"/>
      <c r="D16" s="236"/>
      <c r="E16" s="102" t="s">
        <v>154</v>
      </c>
      <c r="F16" s="83" t="s">
        <v>25</v>
      </c>
      <c r="G16" s="81">
        <v>0.12</v>
      </c>
      <c r="H16" s="82">
        <f t="shared" si="0"/>
        <v>5436</v>
      </c>
    </row>
    <row r="17" spans="1:8" ht="15.75" customHeight="1">
      <c r="A17" s="79"/>
      <c r="B17" s="236" t="s">
        <v>11</v>
      </c>
      <c r="C17" s="236"/>
      <c r="D17" s="236"/>
      <c r="E17" s="102" t="s">
        <v>9</v>
      </c>
      <c r="F17" s="83" t="s">
        <v>12</v>
      </c>
      <c r="G17" s="81">
        <v>2.22</v>
      </c>
      <c r="H17" s="82">
        <f t="shared" si="0"/>
        <v>100571</v>
      </c>
    </row>
    <row r="18" spans="1:8" ht="15.75" customHeight="1">
      <c r="A18" s="79"/>
      <c r="B18" s="236" t="s">
        <v>26</v>
      </c>
      <c r="C18" s="241"/>
      <c r="D18" s="241"/>
      <c r="E18" s="105" t="s">
        <v>13</v>
      </c>
      <c r="F18" s="77" t="s">
        <v>135</v>
      </c>
      <c r="G18" s="81">
        <v>0.05</v>
      </c>
      <c r="H18" s="82">
        <f t="shared" si="0"/>
        <v>2265</v>
      </c>
    </row>
    <row r="19" spans="1:8" ht="33" customHeight="1">
      <c r="A19" s="79"/>
      <c r="B19" s="236" t="s">
        <v>71</v>
      </c>
      <c r="C19" s="236"/>
      <c r="D19" s="236"/>
      <c r="E19" s="98" t="s">
        <v>35</v>
      </c>
      <c r="F19" s="83" t="s">
        <v>82</v>
      </c>
      <c r="G19" s="81">
        <v>2.15</v>
      </c>
      <c r="H19" s="82">
        <f t="shared" si="0"/>
        <v>97400</v>
      </c>
    </row>
    <row r="20" spans="1:8" ht="51">
      <c r="A20" s="79"/>
      <c r="B20" s="235" t="s">
        <v>15</v>
      </c>
      <c r="C20" s="235"/>
      <c r="D20" s="235"/>
      <c r="E20" s="98" t="s">
        <v>136</v>
      </c>
      <c r="F20" s="83" t="s">
        <v>82</v>
      </c>
      <c r="G20" s="81">
        <v>0.53</v>
      </c>
      <c r="H20" s="82">
        <f t="shared" si="0"/>
        <v>24010</v>
      </c>
    </row>
    <row r="21" spans="1:8" ht="25.5">
      <c r="A21" s="79"/>
      <c r="B21" s="236" t="s">
        <v>36</v>
      </c>
      <c r="C21" s="241"/>
      <c r="D21" s="241"/>
      <c r="E21" s="98" t="s">
        <v>35</v>
      </c>
      <c r="F21" s="83" t="s">
        <v>82</v>
      </c>
      <c r="G21" s="81">
        <f>3.52-G22-G23</f>
        <v>2.94</v>
      </c>
      <c r="H21" s="82">
        <f t="shared" si="0"/>
        <v>133189</v>
      </c>
    </row>
    <row r="22" spans="1:8" ht="15.75" customHeight="1">
      <c r="A22" s="79"/>
      <c r="B22" s="236" t="s">
        <v>191</v>
      </c>
      <c r="C22" s="236"/>
      <c r="D22" s="236"/>
      <c r="E22" s="102" t="s">
        <v>9</v>
      </c>
      <c r="F22" s="83" t="s">
        <v>82</v>
      </c>
      <c r="G22" s="81">
        <v>0.29</v>
      </c>
      <c r="H22" s="82">
        <f t="shared" si="0"/>
        <v>13138</v>
      </c>
    </row>
    <row r="23" spans="1:8" ht="36.75" customHeight="1">
      <c r="A23" s="79"/>
      <c r="B23" s="236" t="s">
        <v>156</v>
      </c>
      <c r="C23" s="236"/>
      <c r="D23" s="236"/>
      <c r="E23" s="102" t="s">
        <v>9</v>
      </c>
      <c r="F23" s="83" t="s">
        <v>82</v>
      </c>
      <c r="G23" s="81">
        <v>0.29</v>
      </c>
      <c r="H23" s="82">
        <f t="shared" si="0"/>
        <v>13138</v>
      </c>
    </row>
    <row r="24" spans="1:8" ht="25.5">
      <c r="A24" s="79"/>
      <c r="B24" s="241" t="s">
        <v>21</v>
      </c>
      <c r="C24" s="241"/>
      <c r="D24" s="241"/>
      <c r="E24" s="98" t="s">
        <v>35</v>
      </c>
      <c r="F24" s="83" t="s">
        <v>82</v>
      </c>
      <c r="G24" s="81">
        <v>1.45</v>
      </c>
      <c r="H24" s="82">
        <f t="shared" si="0"/>
        <v>65688</v>
      </c>
    </row>
    <row r="25" spans="1:8" ht="15.75">
      <c r="A25" s="23"/>
      <c r="B25" s="220" t="s">
        <v>157</v>
      </c>
      <c r="C25" s="221"/>
      <c r="D25" s="222"/>
      <c r="E25" s="102" t="s">
        <v>9</v>
      </c>
      <c r="F25" s="83"/>
      <c r="G25" s="81"/>
      <c r="H25" s="82"/>
    </row>
    <row r="26" spans="1:8" ht="31.5" customHeight="1">
      <c r="A26" s="23"/>
      <c r="B26" s="220" t="s">
        <v>158</v>
      </c>
      <c r="C26" s="221"/>
      <c r="D26" s="222"/>
      <c r="E26" s="98" t="s">
        <v>35</v>
      </c>
      <c r="F26" s="83"/>
      <c r="G26" s="81"/>
      <c r="H26" s="82"/>
    </row>
    <row r="27" spans="1:8" ht="15.75" customHeight="1">
      <c r="A27" s="79"/>
      <c r="B27" s="223"/>
      <c r="C27" s="224"/>
      <c r="D27" s="225"/>
      <c r="E27" s="98"/>
      <c r="F27" s="83"/>
      <c r="G27" s="81"/>
      <c r="H27" s="82"/>
    </row>
    <row r="28" spans="1:8" ht="15.75">
      <c r="A28" s="79"/>
      <c r="B28" s="223"/>
      <c r="C28" s="224"/>
      <c r="D28" s="225"/>
      <c r="E28" s="98"/>
      <c r="F28" s="83"/>
      <c r="G28" s="81"/>
      <c r="H28" s="82"/>
    </row>
    <row r="29" spans="1:8" ht="15.75">
      <c r="A29" s="79"/>
      <c r="B29" s="238" t="s">
        <v>30</v>
      </c>
      <c r="C29" s="239"/>
      <c r="D29" s="240"/>
      <c r="E29" s="14"/>
      <c r="F29" s="83"/>
      <c r="G29" s="21">
        <f>SUM(G12:G28)</f>
        <v>13.039999999999996</v>
      </c>
      <c r="H29" s="82">
        <f t="shared" si="0"/>
        <v>590743</v>
      </c>
    </row>
    <row r="30" spans="1:8" ht="15.75">
      <c r="A30" s="74" t="s">
        <v>159</v>
      </c>
      <c r="B30" s="227" t="s">
        <v>192</v>
      </c>
      <c r="C30" s="228"/>
      <c r="D30" s="228"/>
      <c r="E30" s="229"/>
      <c r="F30" s="51" t="s">
        <v>137</v>
      </c>
      <c r="G30" s="24">
        <v>1.45</v>
      </c>
      <c r="H30" s="82">
        <f t="shared" si="0"/>
        <v>65688</v>
      </c>
    </row>
    <row r="31" spans="1:8" ht="15.75" customHeight="1">
      <c r="A31" s="74"/>
      <c r="B31" s="242" t="s">
        <v>193</v>
      </c>
      <c r="C31" s="242"/>
      <c r="D31" s="242"/>
      <c r="E31" s="242"/>
      <c r="F31" s="242"/>
      <c r="G31" s="21">
        <f>SUM(G29:G30)</f>
        <v>14.489999999999995</v>
      </c>
      <c r="H31" s="120">
        <f t="shared" si="0"/>
        <v>656432</v>
      </c>
    </row>
    <row r="32" spans="1:8" ht="16.5" thickBot="1">
      <c r="A32" s="121">
        <v>3</v>
      </c>
      <c r="B32" s="243" t="s">
        <v>194</v>
      </c>
      <c r="C32" s="244"/>
      <c r="D32" s="245"/>
      <c r="E32" s="122"/>
      <c r="F32" s="123" t="s">
        <v>137</v>
      </c>
      <c r="G32" s="124">
        <v>0.76</v>
      </c>
      <c r="H32" s="125">
        <f>ROUND($E$2*G32*12,0)</f>
        <v>34430</v>
      </c>
    </row>
    <row r="33" spans="7:8" ht="15.75">
      <c r="G33" s="85"/>
      <c r="H33" s="86"/>
    </row>
    <row r="34" spans="1:8" ht="15.7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  <mergeCell ref="B21:D21"/>
    <mergeCell ref="B22:D22"/>
    <mergeCell ref="B23:D23"/>
    <mergeCell ref="B16:D16"/>
    <mergeCell ref="B17:D17"/>
    <mergeCell ref="B18:D18"/>
    <mergeCell ref="B19:D19"/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0" workbookViewId="0" topLeftCell="B13">
      <selection activeCell="G17" sqref="G17:G29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7.375" style="0" bestFit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11" customHeight="1">
      <c r="A1" s="191" t="s">
        <v>199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54" customHeight="1">
      <c r="A2" s="208" t="s">
        <v>200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9" ht="18.75">
      <c r="A3" s="1" t="s">
        <v>77</v>
      </c>
      <c r="B3" s="1" t="s">
        <v>85</v>
      </c>
      <c r="C3" s="2"/>
      <c r="D3" s="2" t="s">
        <v>0</v>
      </c>
      <c r="E3" s="4">
        <v>3775.2</v>
      </c>
      <c r="F3" s="2"/>
      <c r="I3" s="87">
        <v>62.4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100</v>
      </c>
    </row>
    <row r="5" spans="2:9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139</v>
      </c>
    </row>
    <row r="7" spans="1:10" ht="39" customHeight="1">
      <c r="A7" s="22" t="s">
        <v>60</v>
      </c>
      <c r="B7" s="209" t="s">
        <v>140</v>
      </c>
      <c r="C7" s="210"/>
      <c r="D7" s="211"/>
      <c r="E7" s="11" t="s">
        <v>6</v>
      </c>
      <c r="F7" s="11" t="s">
        <v>7</v>
      </c>
      <c r="G7" s="33" t="s">
        <v>22</v>
      </c>
      <c r="H7" s="212" t="s">
        <v>141</v>
      </c>
      <c r="I7" s="213"/>
      <c r="J7" s="214"/>
    </row>
    <row r="8" spans="1:10" ht="15.75">
      <c r="A8" s="23">
        <v>1</v>
      </c>
      <c r="B8" s="198"/>
      <c r="C8" s="199"/>
      <c r="D8" s="199"/>
      <c r="E8" s="199"/>
      <c r="F8" s="200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198" t="s">
        <v>145</v>
      </c>
      <c r="C9" s="199"/>
      <c r="D9" s="199"/>
      <c r="E9" s="199"/>
      <c r="F9" s="200"/>
      <c r="G9" s="78"/>
      <c r="H9" s="78"/>
      <c r="I9" s="58"/>
      <c r="J9" s="91"/>
    </row>
    <row r="10" spans="1:10" ht="15.75" customHeight="1">
      <c r="A10" s="92"/>
      <c r="B10" s="215" t="s">
        <v>146</v>
      </c>
      <c r="C10" s="215"/>
      <c r="D10" s="215"/>
      <c r="E10" s="215"/>
      <c r="F10" s="215"/>
      <c r="G10" s="15"/>
      <c r="H10" s="93">
        <v>658138.61</v>
      </c>
      <c r="I10" s="75"/>
      <c r="J10" s="94">
        <f>H10+I10</f>
        <v>658138.61</v>
      </c>
    </row>
    <row r="11" spans="1:10" ht="15.75" customHeight="1">
      <c r="A11" s="92"/>
      <c r="B11" s="215" t="s">
        <v>147</v>
      </c>
      <c r="C11" s="215"/>
      <c r="D11" s="215"/>
      <c r="E11" s="215"/>
      <c r="F11" s="215"/>
      <c r="G11" s="15"/>
      <c r="H11" s="16">
        <v>27278.92</v>
      </c>
      <c r="I11" s="75"/>
      <c r="J11" s="94">
        <f>H11+I11</f>
        <v>27278.92</v>
      </c>
    </row>
    <row r="12" spans="1:10" ht="15.75" customHeight="1">
      <c r="A12" s="23"/>
      <c r="B12" s="215" t="s">
        <v>148</v>
      </c>
      <c r="C12" s="215"/>
      <c r="D12" s="215"/>
      <c r="E12" s="215"/>
      <c r="F12" s="215"/>
      <c r="G12" s="15"/>
      <c r="H12" s="93"/>
      <c r="I12" s="75">
        <v>15170.84</v>
      </c>
      <c r="J12" s="94">
        <f>H12+I12</f>
        <v>15170.84</v>
      </c>
    </row>
    <row r="13" spans="1:10" ht="15.75" customHeight="1">
      <c r="A13" s="23"/>
      <c r="B13" s="215" t="s">
        <v>149</v>
      </c>
      <c r="C13" s="215"/>
      <c r="D13" s="215"/>
      <c r="E13" s="215"/>
      <c r="F13" s="215"/>
      <c r="G13" s="15"/>
      <c r="H13" s="93">
        <v>0</v>
      </c>
      <c r="I13" s="95">
        <v>0</v>
      </c>
      <c r="J13" s="94">
        <f>H13+I13</f>
        <v>0</v>
      </c>
    </row>
    <row r="14" spans="1:10" ht="15.75" customHeight="1">
      <c r="A14" s="23"/>
      <c r="B14" s="166" t="s">
        <v>150</v>
      </c>
      <c r="C14" s="166"/>
      <c r="D14" s="166"/>
      <c r="E14" s="166"/>
      <c r="F14" s="166"/>
      <c r="G14" s="15"/>
      <c r="H14" s="96">
        <f>SUM(H10:H13)</f>
        <v>685417.53</v>
      </c>
      <c r="I14" s="96">
        <f>SUM(I10:I13)</f>
        <v>15170.84</v>
      </c>
      <c r="J14" s="96">
        <f>SUM(J10:J13)</f>
        <v>700588.37</v>
      </c>
    </row>
    <row r="15" spans="1:10" ht="18.75" customHeight="1">
      <c r="A15" s="23">
        <v>2</v>
      </c>
      <c r="B15" s="167" t="s">
        <v>65</v>
      </c>
      <c r="C15" s="167"/>
      <c r="D15" s="167"/>
      <c r="E15" s="167"/>
      <c r="F15" s="167"/>
      <c r="G15" s="15"/>
      <c r="H15" s="93"/>
      <c r="I15" s="75"/>
      <c r="J15" s="35"/>
    </row>
    <row r="16" spans="1:10" ht="15.75">
      <c r="A16" s="23" t="s">
        <v>151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18" t="s">
        <v>201</v>
      </c>
      <c r="C17" s="218"/>
      <c r="D17" s="218"/>
      <c r="E17" s="98" t="s">
        <v>32</v>
      </c>
      <c r="F17" s="80" t="s">
        <v>24</v>
      </c>
      <c r="G17" s="81">
        <v>1.22</v>
      </c>
      <c r="H17" s="99">
        <f>ROUND(G17*$E$3*12,2)</f>
        <v>55268.93</v>
      </c>
      <c r="I17" s="100">
        <f>$I$12*0.08</f>
        <v>1213.6672</v>
      </c>
      <c r="J17" s="101">
        <f>SUM(H17:I17)</f>
        <v>56482.597200000004</v>
      </c>
    </row>
    <row r="18" spans="1:10" ht="36" customHeight="1">
      <c r="A18" s="23"/>
      <c r="B18" s="219" t="s">
        <v>17</v>
      </c>
      <c r="C18" s="219"/>
      <c r="D18" s="219"/>
      <c r="E18" s="98" t="s">
        <v>32</v>
      </c>
      <c r="F18" s="80" t="s">
        <v>19</v>
      </c>
      <c r="G18" s="81">
        <v>0.28</v>
      </c>
      <c r="H18" s="99">
        <f>ROUND(G18*$E$3*12,2)</f>
        <v>12684.67</v>
      </c>
      <c r="I18" s="100">
        <f>$I$12*0.02</f>
        <v>303.4168</v>
      </c>
      <c r="J18" s="101">
        <f>SUM(H18:I18)</f>
        <v>12988.086800000001</v>
      </c>
    </row>
    <row r="19" spans="1:10" ht="20.25" customHeight="1">
      <c r="A19" s="23"/>
      <c r="B19" s="216" t="s">
        <v>23</v>
      </c>
      <c r="C19" s="216"/>
      <c r="D19" s="216"/>
      <c r="E19" s="102" t="s">
        <v>153</v>
      </c>
      <c r="F19" s="83" t="s">
        <v>20</v>
      </c>
      <c r="G19" s="81">
        <v>0.99</v>
      </c>
      <c r="H19" s="99">
        <f>J19-I19</f>
        <v>39711.5212</v>
      </c>
      <c r="I19" s="100">
        <f>$I$12*0.07</f>
        <v>1061.9588</v>
      </c>
      <c r="J19" s="103">
        <v>40773.48</v>
      </c>
    </row>
    <row r="20" spans="1:10" ht="20.25" customHeight="1">
      <c r="A20" s="26"/>
      <c r="B20" s="218" t="s">
        <v>31</v>
      </c>
      <c r="C20" s="218"/>
      <c r="D20" s="218"/>
      <c r="E20" s="104" t="s">
        <v>9</v>
      </c>
      <c r="F20" s="84" t="s">
        <v>10</v>
      </c>
      <c r="G20" s="81">
        <v>0.51</v>
      </c>
      <c r="H20" s="99">
        <f>ROUND(G20*$E$3*12,2)</f>
        <v>23104.22</v>
      </c>
      <c r="I20" s="100">
        <f>$I$12*0.04</f>
        <v>606.8336</v>
      </c>
      <c r="J20" s="101">
        <f>SUM(H20:I20)</f>
        <v>23711.053600000003</v>
      </c>
    </row>
    <row r="21" spans="1:10" ht="65.25" customHeight="1">
      <c r="A21" s="23"/>
      <c r="B21" s="216" t="s">
        <v>27</v>
      </c>
      <c r="C21" s="216"/>
      <c r="D21" s="216"/>
      <c r="E21" s="102" t="s">
        <v>154</v>
      </c>
      <c r="F21" s="83" t="s">
        <v>25</v>
      </c>
      <c r="G21" s="81">
        <v>0.12</v>
      </c>
      <c r="H21" s="99">
        <f>J21-I21</f>
        <v>2509.2116</v>
      </c>
      <c r="I21" s="100">
        <f>$I$12*0.01</f>
        <v>151.7084</v>
      </c>
      <c r="J21" s="103">
        <v>2660.92</v>
      </c>
    </row>
    <row r="22" spans="1:10" ht="20.25" customHeight="1">
      <c r="A22" s="26"/>
      <c r="B22" s="216" t="s">
        <v>11</v>
      </c>
      <c r="C22" s="216"/>
      <c r="D22" s="216"/>
      <c r="E22" s="102" t="s">
        <v>9</v>
      </c>
      <c r="F22" s="83" t="s">
        <v>12</v>
      </c>
      <c r="G22" s="81">
        <v>2.22</v>
      </c>
      <c r="H22" s="99">
        <f>J22-I22</f>
        <v>98295.70199999999</v>
      </c>
      <c r="I22" s="100">
        <f>$I$12*0.15</f>
        <v>2275.6259999999997</v>
      </c>
      <c r="J22" s="103">
        <f>G22*E3*12</f>
        <v>100571.328</v>
      </c>
    </row>
    <row r="23" spans="1:10" ht="31.5" customHeight="1">
      <c r="A23" s="26"/>
      <c r="B23" s="216" t="s">
        <v>26</v>
      </c>
      <c r="C23" s="217"/>
      <c r="D23" s="217"/>
      <c r="E23" s="105" t="s">
        <v>13</v>
      </c>
      <c r="F23" s="77" t="s">
        <v>14</v>
      </c>
      <c r="G23" s="81">
        <v>0.05</v>
      </c>
      <c r="H23" s="99">
        <f>J23-I23</f>
        <v>5733.60748</v>
      </c>
      <c r="I23" s="100">
        <f>$I$12*0.003</f>
        <v>45.51252</v>
      </c>
      <c r="J23" s="103">
        <v>5779.12</v>
      </c>
    </row>
    <row r="24" spans="1:10" ht="28.5" customHeight="1">
      <c r="A24" s="23"/>
      <c r="B24" s="216" t="s">
        <v>71</v>
      </c>
      <c r="C24" s="216"/>
      <c r="D24" s="216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97400.16</v>
      </c>
      <c r="I24" s="100">
        <f>$I$12*0.19</f>
        <v>2882.4596</v>
      </c>
      <c r="J24" s="101">
        <f aca="true" t="shared" si="1" ref="J24:J29">SUM(H24:I24)</f>
        <v>100282.6196</v>
      </c>
    </row>
    <row r="25" spans="1:10" ht="26.25" customHeight="1">
      <c r="A25" s="23"/>
      <c r="B25" s="219" t="s">
        <v>15</v>
      </c>
      <c r="C25" s="219"/>
      <c r="D25" s="219"/>
      <c r="E25" s="98" t="s">
        <v>35</v>
      </c>
      <c r="F25" s="46" t="s">
        <v>82</v>
      </c>
      <c r="G25" s="81">
        <v>0.53</v>
      </c>
      <c r="H25" s="106">
        <f t="shared" si="0"/>
        <v>24010.27</v>
      </c>
      <c r="I25" s="100">
        <v>0</v>
      </c>
      <c r="J25" s="101">
        <f t="shared" si="1"/>
        <v>24010.27</v>
      </c>
    </row>
    <row r="26" spans="1:10" ht="30" customHeight="1">
      <c r="A26" s="23"/>
      <c r="B26" s="226" t="s">
        <v>36</v>
      </c>
      <c r="C26" s="224"/>
      <c r="D26" s="225"/>
      <c r="E26" s="98" t="s">
        <v>35</v>
      </c>
      <c r="F26" s="46" t="s">
        <v>82</v>
      </c>
      <c r="G26" s="48">
        <f>3.52-G27-G28</f>
        <v>2.94</v>
      </c>
      <c r="H26" s="106">
        <f t="shared" si="0"/>
        <v>133189.06</v>
      </c>
      <c r="I26" s="107">
        <f>$I$12*0.18</f>
        <v>2730.7511999999997</v>
      </c>
      <c r="J26" s="101">
        <f t="shared" si="1"/>
        <v>135919.8112</v>
      </c>
    </row>
    <row r="27" spans="1:10" ht="26.25" customHeight="1">
      <c r="A27" s="26"/>
      <c r="B27" s="216" t="s">
        <v>155</v>
      </c>
      <c r="C27" s="216"/>
      <c r="D27" s="216"/>
      <c r="E27" s="98" t="s">
        <v>35</v>
      </c>
      <c r="F27" s="46" t="s">
        <v>82</v>
      </c>
      <c r="G27" s="48">
        <v>0.29</v>
      </c>
      <c r="H27" s="106">
        <f t="shared" si="0"/>
        <v>13137.7</v>
      </c>
      <c r="I27" s="107">
        <f>$I$12*0.02</f>
        <v>303.4168</v>
      </c>
      <c r="J27" s="101">
        <f t="shared" si="1"/>
        <v>13441.116800000002</v>
      </c>
    </row>
    <row r="28" spans="1:10" ht="28.5" customHeight="1">
      <c r="A28" s="23"/>
      <c r="B28" s="216" t="s">
        <v>156</v>
      </c>
      <c r="C28" s="216"/>
      <c r="D28" s="216"/>
      <c r="E28" s="102" t="s">
        <v>9</v>
      </c>
      <c r="F28" s="46" t="s">
        <v>82</v>
      </c>
      <c r="G28" s="48">
        <v>0.29</v>
      </c>
      <c r="H28" s="106">
        <f t="shared" si="0"/>
        <v>13137.7</v>
      </c>
      <c r="I28" s="107">
        <v>0</v>
      </c>
      <c r="J28" s="101">
        <f t="shared" si="1"/>
        <v>13137.7</v>
      </c>
    </row>
    <row r="29" spans="1:10" ht="27" customHeight="1">
      <c r="A29" s="23"/>
      <c r="B29" s="217" t="s">
        <v>21</v>
      </c>
      <c r="C29" s="217"/>
      <c r="D29" s="217"/>
      <c r="E29" s="102" t="s">
        <v>35</v>
      </c>
      <c r="F29" s="46" t="s">
        <v>82</v>
      </c>
      <c r="G29" s="77">
        <v>1.45</v>
      </c>
      <c r="H29" s="99">
        <f t="shared" si="0"/>
        <v>65688.48</v>
      </c>
      <c r="I29" s="100">
        <f>$I$12*0.1</f>
        <v>1517.084</v>
      </c>
      <c r="J29" s="101">
        <f t="shared" si="1"/>
        <v>67205.564</v>
      </c>
    </row>
    <row r="30" spans="1:10" ht="21.75" customHeight="1">
      <c r="A30" s="23"/>
      <c r="B30" s="220"/>
      <c r="C30" s="221"/>
      <c r="D30" s="222"/>
      <c r="E30" s="102"/>
      <c r="F30" s="46"/>
      <c r="G30" s="77"/>
      <c r="H30" s="106"/>
      <c r="I30" s="95"/>
      <c r="J30" s="108"/>
    </row>
    <row r="31" spans="1:10" ht="27" customHeight="1">
      <c r="A31" s="23"/>
      <c r="B31" s="220"/>
      <c r="C31" s="221"/>
      <c r="D31" s="222"/>
      <c r="E31" s="98"/>
      <c r="F31" s="46"/>
      <c r="G31" s="77"/>
      <c r="H31" s="106"/>
      <c r="I31" s="95"/>
      <c r="J31" s="108"/>
    </row>
    <row r="32" spans="1:10" ht="15.75">
      <c r="A32" s="23"/>
      <c r="B32" s="223"/>
      <c r="C32" s="224"/>
      <c r="D32" s="225"/>
      <c r="E32" s="102"/>
      <c r="F32" s="46"/>
      <c r="G32" s="77"/>
      <c r="H32" s="106"/>
      <c r="I32" s="95"/>
      <c r="J32" s="108"/>
    </row>
    <row r="33" spans="1:10" ht="15.75">
      <c r="A33" s="23"/>
      <c r="B33" s="223"/>
      <c r="C33" s="224"/>
      <c r="D33" s="225"/>
      <c r="E33" s="102"/>
      <c r="F33" s="46"/>
      <c r="G33" s="77"/>
      <c r="H33" s="106"/>
      <c r="I33" s="95"/>
      <c r="J33" s="108"/>
    </row>
    <row r="34" spans="1:10" ht="15.75">
      <c r="A34" s="23"/>
      <c r="B34" s="163" t="s">
        <v>30</v>
      </c>
      <c r="C34" s="163"/>
      <c r="D34" s="163"/>
      <c r="E34" s="14"/>
      <c r="F34" s="46"/>
      <c r="G34" s="21">
        <f>SUM(G17:G29)</f>
        <v>13.039999999999996</v>
      </c>
      <c r="H34" s="40">
        <f>SUM(H17:H33)</f>
        <v>583871.2322800001</v>
      </c>
      <c r="I34" s="109">
        <f>SUM(I17:I33)</f>
        <v>13092.43492</v>
      </c>
      <c r="J34" s="40">
        <f>SUM(J17:J33)</f>
        <v>596963.6672000001</v>
      </c>
    </row>
    <row r="35" spans="1:10" ht="21.75" customHeight="1">
      <c r="A35" s="23"/>
      <c r="B35" s="220" t="s">
        <v>157</v>
      </c>
      <c r="C35" s="221"/>
      <c r="D35" s="222"/>
      <c r="E35" s="102" t="s">
        <v>9</v>
      </c>
      <c r="F35" s="46"/>
      <c r="G35" s="77"/>
      <c r="H35" s="106"/>
      <c r="I35" s="95"/>
      <c r="J35" s="108"/>
    </row>
    <row r="36" spans="1:10" ht="27" customHeight="1">
      <c r="A36" s="23"/>
      <c r="B36" s="220" t="s">
        <v>158</v>
      </c>
      <c r="C36" s="221"/>
      <c r="D36" s="222"/>
      <c r="E36" s="98" t="s">
        <v>35</v>
      </c>
      <c r="F36" s="46"/>
      <c r="G36" s="77"/>
      <c r="H36" s="106"/>
      <c r="I36" s="95"/>
      <c r="J36" s="108"/>
    </row>
    <row r="37" spans="1:10" ht="15.75">
      <c r="A37" s="23"/>
      <c r="B37" s="223"/>
      <c r="C37" s="224"/>
      <c r="D37" s="225"/>
      <c r="E37" s="102"/>
      <c r="F37" s="46"/>
      <c r="G37" s="77"/>
      <c r="H37" s="106"/>
      <c r="I37" s="95"/>
      <c r="J37" s="108"/>
    </row>
    <row r="38" spans="1:10" ht="15" customHeight="1">
      <c r="A38" s="23" t="s">
        <v>159</v>
      </c>
      <c r="B38" s="227" t="s">
        <v>160</v>
      </c>
      <c r="C38" s="228"/>
      <c r="D38" s="228"/>
      <c r="E38" s="229"/>
      <c r="F38" s="46" t="s">
        <v>82</v>
      </c>
      <c r="G38" s="24">
        <f>H38/E3/12</f>
        <v>0.1732358550540369</v>
      </c>
      <c r="H38" s="28">
        <v>7848</v>
      </c>
      <c r="I38" s="110">
        <v>0</v>
      </c>
      <c r="J38" s="96">
        <f>SUM(H38:I38)</f>
        <v>7848</v>
      </c>
    </row>
    <row r="39" spans="1:10" ht="14.25" customHeight="1">
      <c r="A39" s="25"/>
      <c r="B39" s="230" t="s">
        <v>69</v>
      </c>
      <c r="C39" s="230"/>
      <c r="D39" s="230"/>
      <c r="E39" s="230"/>
      <c r="F39" s="230"/>
      <c r="G39" s="5">
        <f>SUM(G34:G38)</f>
        <v>13.213235855054032</v>
      </c>
      <c r="H39" s="41">
        <f>SUM(H34:H38)</f>
        <v>591719.2322800001</v>
      </c>
      <c r="I39" s="111">
        <f>SUM(I34:I38)</f>
        <v>13092.43492</v>
      </c>
      <c r="J39" s="41">
        <f>SUM(J34:J38)</f>
        <v>604811.6672000001</v>
      </c>
    </row>
    <row r="40" spans="1:10" ht="15.75">
      <c r="A40" s="23" t="s">
        <v>161</v>
      </c>
      <c r="B40" s="231" t="s">
        <v>162</v>
      </c>
      <c r="C40" s="231"/>
      <c r="D40" s="231"/>
      <c r="E40" s="231"/>
      <c r="F40" s="231"/>
      <c r="G40" s="112"/>
      <c r="H40" s="113">
        <v>0</v>
      </c>
      <c r="I40" s="113">
        <v>0</v>
      </c>
      <c r="J40" s="114">
        <f>SUM(H40:I40)</f>
        <v>0</v>
      </c>
    </row>
    <row r="41" spans="1:10" ht="15" customHeight="1">
      <c r="A41" s="25"/>
      <c r="B41" s="230" t="s">
        <v>163</v>
      </c>
      <c r="C41" s="230"/>
      <c r="D41" s="230"/>
      <c r="E41" s="230"/>
      <c r="F41" s="230"/>
      <c r="G41" s="5">
        <f>SUM(G39:G40)</f>
        <v>13.213235855054032</v>
      </c>
      <c r="H41" s="41">
        <f>SUM(H39:H40)</f>
        <v>591719.2322800001</v>
      </c>
      <c r="I41" s="111">
        <f>SUM(I39:I40)</f>
        <v>13092.43492</v>
      </c>
      <c r="J41" s="41">
        <f>SUM(J39:J40)</f>
        <v>604811.6672000001</v>
      </c>
    </row>
    <row r="42" spans="1:10" ht="15.75" customHeight="1">
      <c r="A42" s="23">
        <v>3</v>
      </c>
      <c r="B42" s="232" t="s">
        <v>202</v>
      </c>
      <c r="C42" s="233"/>
      <c r="D42" s="233"/>
      <c r="E42" s="233"/>
      <c r="F42" s="233"/>
      <c r="G42" s="234"/>
      <c r="H42" s="115">
        <f>H14-H41</f>
        <v>93698.29771999991</v>
      </c>
      <c r="I42" s="99">
        <f>I14-I41</f>
        <v>2078.4050800000005</v>
      </c>
      <c r="J42" s="116">
        <f>J14-J41</f>
        <v>95776.70279999985</v>
      </c>
    </row>
    <row r="43" spans="2:6" ht="15.75">
      <c r="B43" s="34"/>
      <c r="F43" s="34"/>
    </row>
    <row r="44" spans="2:6" ht="15.75">
      <c r="B44" s="43" t="s">
        <v>78</v>
      </c>
      <c r="C44" s="43"/>
      <c r="D44" s="43"/>
      <c r="E44" s="34"/>
      <c r="F44" s="34"/>
    </row>
    <row r="45" spans="2:4" ht="15.75">
      <c r="B45" s="43"/>
      <c r="C45" s="43"/>
      <c r="D45" s="43"/>
    </row>
    <row r="46" spans="2:4" ht="15.75">
      <c r="B46" s="34" t="s">
        <v>203</v>
      </c>
      <c r="C46" s="47"/>
      <c r="D46" s="44"/>
    </row>
    <row r="47" spans="2:4" ht="15.75">
      <c r="B47" s="196" t="s">
        <v>87</v>
      </c>
      <c r="C47" s="196"/>
      <c r="D47" s="196"/>
    </row>
  </sheetData>
  <sheetProtection/>
  <mergeCells count="39">
    <mergeCell ref="B8:F8"/>
    <mergeCell ref="B9:F9"/>
    <mergeCell ref="A1:J1"/>
    <mergeCell ref="A2:J2"/>
    <mergeCell ref="B7:D7"/>
    <mergeCell ref="H7:J7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36:D36"/>
    <mergeCell ref="B37:D37"/>
    <mergeCell ref="B40:F40"/>
    <mergeCell ref="B41:F41"/>
    <mergeCell ref="B42:G42"/>
    <mergeCell ref="B47:D47"/>
    <mergeCell ref="B38:E38"/>
    <mergeCell ref="B39:F39"/>
  </mergeCell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5">
      <selection activeCell="G16" sqref="G16:G2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bestFit="1" customWidth="1"/>
    <col min="6" max="6" width="18.00390625" style="0" hidden="1" customWidth="1"/>
    <col min="7" max="8" width="13.125" style="0" customWidth="1"/>
    <col min="9" max="9" width="9.875" style="0" bestFit="1" customWidth="1"/>
  </cols>
  <sheetData>
    <row r="1" spans="1:8" ht="69.75" customHeight="1">
      <c r="A1" s="131"/>
      <c r="B1" s="131"/>
      <c r="C1" s="131"/>
      <c r="D1" s="253" t="s">
        <v>206</v>
      </c>
      <c r="E1" s="253"/>
      <c r="F1" s="253"/>
      <c r="G1" s="253"/>
      <c r="H1" s="253"/>
    </row>
    <row r="2" spans="1:8" ht="20.25">
      <c r="A2" s="131"/>
      <c r="B2" s="131"/>
      <c r="C2" s="131"/>
      <c r="D2" s="132"/>
      <c r="E2" s="132"/>
      <c r="F2" s="132"/>
      <c r="G2" s="132"/>
      <c r="H2" s="132"/>
    </row>
    <row r="3" spans="1:8" ht="20.25">
      <c r="A3" s="131"/>
      <c r="B3" s="131"/>
      <c r="C3" s="131"/>
      <c r="D3" s="132"/>
      <c r="E3" s="132"/>
      <c r="F3" s="132"/>
      <c r="G3" s="132"/>
      <c r="H3" s="132"/>
    </row>
    <row r="4" spans="1:8" ht="21" customHeight="1">
      <c r="A4" s="254" t="s">
        <v>207</v>
      </c>
      <c r="B4" s="254"/>
      <c r="C4" s="254"/>
      <c r="D4" s="254"/>
      <c r="E4" s="254"/>
      <c r="F4" s="254"/>
      <c r="G4" s="254"/>
      <c r="H4" s="254"/>
    </row>
    <row r="5" spans="1:8" ht="21" customHeight="1">
      <c r="A5" s="133"/>
      <c r="B5" s="133"/>
      <c r="C5" s="133"/>
      <c r="D5" s="133"/>
      <c r="E5" s="133"/>
      <c r="F5" s="133"/>
      <c r="G5" s="133"/>
      <c r="H5" s="133"/>
    </row>
    <row r="6" spans="1:8" ht="21" customHeight="1">
      <c r="A6" s="133"/>
      <c r="B6" s="252" t="s">
        <v>215</v>
      </c>
      <c r="C6" s="252"/>
      <c r="D6" s="252"/>
      <c r="E6" s="252"/>
      <c r="F6" s="252"/>
      <c r="G6" s="133"/>
      <c r="H6" s="133"/>
    </row>
    <row r="7" spans="1:8" ht="20.25">
      <c r="A7" s="126"/>
      <c r="B7" s="126"/>
      <c r="C7" s="126"/>
      <c r="D7" s="126"/>
      <c r="E7" s="126"/>
      <c r="F7" s="126"/>
      <c r="G7" s="126"/>
      <c r="H7" s="126"/>
    </row>
    <row r="8" spans="1:6" ht="18.75">
      <c r="A8" s="1" t="s">
        <v>77</v>
      </c>
      <c r="B8" s="1" t="s">
        <v>85</v>
      </c>
      <c r="C8" s="2"/>
      <c r="D8" s="2" t="s">
        <v>0</v>
      </c>
      <c r="E8" s="4">
        <v>3752.6</v>
      </c>
      <c r="F8" s="2"/>
    </row>
    <row r="9" spans="2:6" ht="15.75">
      <c r="B9" s="3" t="s">
        <v>1</v>
      </c>
      <c r="C9" s="27">
        <v>9</v>
      </c>
      <c r="D9" s="2" t="s">
        <v>2</v>
      </c>
      <c r="E9" s="4" t="s">
        <v>222</v>
      </c>
      <c r="F9" s="2"/>
    </row>
    <row r="10" spans="2:7" ht="15.75">
      <c r="B10" s="3" t="s">
        <v>3</v>
      </c>
      <c r="C10" s="4">
        <v>2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0.25">
      <c r="A12" s="117" t="s">
        <v>60</v>
      </c>
      <c r="B12" s="246" t="s">
        <v>140</v>
      </c>
      <c r="C12" s="247"/>
      <c r="D12" s="248"/>
      <c r="E12" s="73" t="s">
        <v>6</v>
      </c>
      <c r="F12" s="73" t="s">
        <v>7</v>
      </c>
      <c r="G12" s="135" t="s">
        <v>216</v>
      </c>
      <c r="H12" s="136" t="s">
        <v>217</v>
      </c>
    </row>
    <row r="13" spans="1:8" ht="26.25" customHeight="1">
      <c r="A13" s="74">
        <v>1</v>
      </c>
      <c r="B13" s="249">
        <v>2</v>
      </c>
      <c r="C13" s="249"/>
      <c r="D13" s="249"/>
      <c r="E13" s="127">
        <v>3</v>
      </c>
      <c r="F13" s="129"/>
      <c r="G13" s="23">
        <v>4</v>
      </c>
      <c r="H13" s="130" t="s">
        <v>209</v>
      </c>
    </row>
    <row r="14" spans="1:8" ht="18.75">
      <c r="A14" s="74" t="s">
        <v>95</v>
      </c>
      <c r="B14" s="167" t="s">
        <v>65</v>
      </c>
      <c r="C14" s="167"/>
      <c r="D14" s="167"/>
      <c r="E14" s="167"/>
      <c r="F14" s="167"/>
      <c r="G14" s="77"/>
      <c r="H14" s="76"/>
    </row>
    <row r="15" spans="1:8" ht="18.75" customHeight="1">
      <c r="A15" s="128" t="s">
        <v>211</v>
      </c>
      <c r="B15" s="19" t="s">
        <v>66</v>
      </c>
      <c r="C15" s="19"/>
      <c r="D15" s="19"/>
      <c r="E15" s="19"/>
      <c r="F15" s="5"/>
      <c r="G15" s="78"/>
      <c r="H15" s="76"/>
    </row>
    <row r="16" spans="1:8" ht="29.25" customHeight="1">
      <c r="A16" s="79"/>
      <c r="B16" s="235" t="s">
        <v>201</v>
      </c>
      <c r="C16" s="235"/>
      <c r="D16" s="235"/>
      <c r="E16" s="98" t="s">
        <v>32</v>
      </c>
      <c r="F16" s="80" t="s">
        <v>24</v>
      </c>
      <c r="G16" s="81">
        <v>1.29</v>
      </c>
      <c r="H16" s="82">
        <f aca="true" t="shared" si="0" ref="H16:H32">ROUND($E$8*G16*4,0)</f>
        <v>19363</v>
      </c>
    </row>
    <row r="17" spans="1:9" ht="15.75" customHeight="1">
      <c r="A17" s="79"/>
      <c r="B17" s="235" t="s">
        <v>17</v>
      </c>
      <c r="C17" s="235"/>
      <c r="D17" s="235"/>
      <c r="E17" s="98" t="s">
        <v>32</v>
      </c>
      <c r="F17" s="80" t="s">
        <v>19</v>
      </c>
      <c r="G17" s="81">
        <v>0.3</v>
      </c>
      <c r="H17" s="82">
        <f t="shared" si="0"/>
        <v>4503</v>
      </c>
      <c r="I17" s="31"/>
    </row>
    <row r="18" spans="1:8" ht="18.75" customHeight="1">
      <c r="A18" s="79"/>
      <c r="B18" s="236" t="s">
        <v>23</v>
      </c>
      <c r="C18" s="236"/>
      <c r="D18" s="236"/>
      <c r="E18" s="102" t="s">
        <v>153</v>
      </c>
      <c r="F18" s="83" t="s">
        <v>20</v>
      </c>
      <c r="G18" s="81">
        <v>1.05</v>
      </c>
      <c r="H18" s="82">
        <f t="shared" si="0"/>
        <v>15761</v>
      </c>
    </row>
    <row r="19" spans="1:8" ht="15.75" customHeight="1">
      <c r="A19" s="79"/>
      <c r="B19" s="237" t="s">
        <v>31</v>
      </c>
      <c r="C19" s="237"/>
      <c r="D19" s="237"/>
      <c r="E19" s="104" t="s">
        <v>9</v>
      </c>
      <c r="F19" s="84" t="s">
        <v>10</v>
      </c>
      <c r="G19" s="81">
        <v>0.54</v>
      </c>
      <c r="H19" s="82">
        <f t="shared" si="0"/>
        <v>8106</v>
      </c>
    </row>
    <row r="20" spans="1:8" ht="51">
      <c r="A20" s="79"/>
      <c r="B20" s="236" t="s">
        <v>27</v>
      </c>
      <c r="C20" s="236"/>
      <c r="D20" s="236"/>
      <c r="E20" s="102" t="s">
        <v>154</v>
      </c>
      <c r="F20" s="83" t="s">
        <v>25</v>
      </c>
      <c r="G20" s="81">
        <v>0.13</v>
      </c>
      <c r="H20" s="82">
        <f t="shared" si="0"/>
        <v>1951</v>
      </c>
    </row>
    <row r="21" spans="1:8" ht="15.75" customHeight="1">
      <c r="A21" s="79"/>
      <c r="B21" s="236" t="s">
        <v>11</v>
      </c>
      <c r="C21" s="236"/>
      <c r="D21" s="236"/>
      <c r="E21" s="102" t="s">
        <v>9</v>
      </c>
      <c r="F21" s="83" t="s">
        <v>12</v>
      </c>
      <c r="G21" s="81">
        <v>2.35</v>
      </c>
      <c r="H21" s="82">
        <f t="shared" si="0"/>
        <v>35274</v>
      </c>
    </row>
    <row r="22" spans="1:8" ht="15.75" customHeight="1">
      <c r="A22" s="79"/>
      <c r="B22" s="236" t="s">
        <v>26</v>
      </c>
      <c r="C22" s="241"/>
      <c r="D22" s="241"/>
      <c r="E22" s="105" t="s">
        <v>13</v>
      </c>
      <c r="F22" s="77" t="s">
        <v>135</v>
      </c>
      <c r="G22" s="81">
        <v>0.05</v>
      </c>
      <c r="H22" s="82">
        <f t="shared" si="0"/>
        <v>751</v>
      </c>
    </row>
    <row r="23" spans="1:8" ht="51">
      <c r="A23" s="79"/>
      <c r="B23" s="236" t="s">
        <v>71</v>
      </c>
      <c r="C23" s="236"/>
      <c r="D23" s="236"/>
      <c r="E23" s="98" t="s">
        <v>214</v>
      </c>
      <c r="F23" s="83" t="s">
        <v>82</v>
      </c>
      <c r="G23" s="81">
        <v>1.63</v>
      </c>
      <c r="H23" s="82">
        <f t="shared" si="0"/>
        <v>24467</v>
      </c>
    </row>
    <row r="24" spans="1:8" ht="51">
      <c r="A24" s="79"/>
      <c r="B24" s="235" t="s">
        <v>15</v>
      </c>
      <c r="C24" s="235"/>
      <c r="D24" s="235"/>
      <c r="E24" s="98" t="s">
        <v>136</v>
      </c>
      <c r="F24" s="83" t="s">
        <v>82</v>
      </c>
      <c r="G24" s="81">
        <v>0.56</v>
      </c>
      <c r="H24" s="82">
        <f t="shared" si="0"/>
        <v>8406</v>
      </c>
    </row>
    <row r="25" spans="1:8" ht="34.5" customHeight="1">
      <c r="A25" s="79"/>
      <c r="B25" s="236" t="s">
        <v>36</v>
      </c>
      <c r="C25" s="241"/>
      <c r="D25" s="241"/>
      <c r="E25" s="98" t="s">
        <v>35</v>
      </c>
      <c r="F25" s="83" t="s">
        <v>82</v>
      </c>
      <c r="G25" s="81">
        <f>4.38-G26-G27</f>
        <v>3.7600000000000002</v>
      </c>
      <c r="H25" s="82">
        <f t="shared" si="0"/>
        <v>56439</v>
      </c>
    </row>
    <row r="26" spans="1:8" ht="15.75" customHeight="1">
      <c r="A26" s="79"/>
      <c r="B26" s="236" t="s">
        <v>191</v>
      </c>
      <c r="C26" s="236"/>
      <c r="D26" s="236"/>
      <c r="E26" s="102" t="s">
        <v>9</v>
      </c>
      <c r="F26" s="83" t="s">
        <v>82</v>
      </c>
      <c r="G26" s="81">
        <v>0.31</v>
      </c>
      <c r="H26" s="82">
        <f t="shared" si="0"/>
        <v>4653</v>
      </c>
    </row>
    <row r="27" spans="1:8" ht="15.75">
      <c r="A27" s="79"/>
      <c r="B27" s="236" t="s">
        <v>156</v>
      </c>
      <c r="C27" s="236"/>
      <c r="D27" s="236"/>
      <c r="E27" s="102" t="s">
        <v>9</v>
      </c>
      <c r="F27" s="83" t="s">
        <v>82</v>
      </c>
      <c r="G27" s="81">
        <v>0.31</v>
      </c>
      <c r="H27" s="82">
        <f t="shared" si="0"/>
        <v>4653</v>
      </c>
    </row>
    <row r="28" spans="1:8" ht="25.5">
      <c r="A28" s="79"/>
      <c r="B28" s="241" t="s">
        <v>21</v>
      </c>
      <c r="C28" s="241"/>
      <c r="D28" s="241"/>
      <c r="E28" s="98" t="s">
        <v>35</v>
      </c>
      <c r="F28" s="83" t="s">
        <v>82</v>
      </c>
      <c r="G28" s="81">
        <v>1.54</v>
      </c>
      <c r="H28" s="82">
        <f t="shared" si="0"/>
        <v>23116</v>
      </c>
    </row>
    <row r="29" spans="1:8" ht="15.75">
      <c r="A29" s="79"/>
      <c r="B29" s="238" t="s">
        <v>30</v>
      </c>
      <c r="C29" s="239"/>
      <c r="D29" s="240"/>
      <c r="E29" s="14"/>
      <c r="F29" s="83"/>
      <c r="G29" s="21">
        <f>SUM(G16:G28)</f>
        <v>13.82</v>
      </c>
      <c r="H29" s="82">
        <f t="shared" si="0"/>
        <v>207444</v>
      </c>
    </row>
    <row r="30" spans="1:8" ht="15.75" customHeight="1">
      <c r="A30" s="74" t="s">
        <v>212</v>
      </c>
      <c r="B30" s="227" t="s">
        <v>204</v>
      </c>
      <c r="C30" s="228"/>
      <c r="D30" s="228"/>
      <c r="E30" s="102" t="s">
        <v>210</v>
      </c>
      <c r="F30" s="51" t="s">
        <v>137</v>
      </c>
      <c r="G30" s="24">
        <v>1.54</v>
      </c>
      <c r="H30" s="82">
        <f t="shared" si="0"/>
        <v>23116</v>
      </c>
    </row>
    <row r="31" spans="1:8" ht="15.75" customHeight="1">
      <c r="A31" s="74" t="s">
        <v>213</v>
      </c>
      <c r="B31" s="242" t="s">
        <v>193</v>
      </c>
      <c r="C31" s="242"/>
      <c r="D31" s="242"/>
      <c r="E31" s="242"/>
      <c r="F31" s="242"/>
      <c r="G31" s="21">
        <f>SUM(G29:G30)</f>
        <v>15.36</v>
      </c>
      <c r="H31" s="82">
        <f t="shared" si="0"/>
        <v>230560</v>
      </c>
    </row>
    <row r="32" spans="1:8" ht="16.5" thickBot="1">
      <c r="A32" s="121" t="s">
        <v>98</v>
      </c>
      <c r="B32" s="243" t="s">
        <v>205</v>
      </c>
      <c r="C32" s="244"/>
      <c r="D32" s="245"/>
      <c r="E32" s="134" t="s">
        <v>210</v>
      </c>
      <c r="F32" s="123" t="s">
        <v>137</v>
      </c>
      <c r="G32" s="137">
        <v>0.8</v>
      </c>
      <c r="H32" s="138">
        <f t="shared" si="0"/>
        <v>12008</v>
      </c>
    </row>
    <row r="33" spans="2:8" ht="15" customHeight="1">
      <c r="B33" s="251" t="s">
        <v>208</v>
      </c>
      <c r="C33" s="251"/>
      <c r="D33" s="251"/>
      <c r="E33" s="251"/>
      <c r="G33" s="85"/>
      <c r="H33" s="86"/>
    </row>
    <row r="34" spans="1:8" ht="15.75">
      <c r="A34" s="43"/>
      <c r="B34" s="43"/>
      <c r="C34" s="43"/>
      <c r="D34" s="34"/>
      <c r="G34" s="85"/>
      <c r="H34" s="86"/>
    </row>
    <row r="35" spans="2:5" ht="15.75">
      <c r="B35" s="34" t="s">
        <v>221</v>
      </c>
      <c r="C35" s="34"/>
      <c r="E35" s="34" t="s">
        <v>218</v>
      </c>
    </row>
    <row r="37" spans="2:5" ht="15.75">
      <c r="B37" s="34" t="s">
        <v>220</v>
      </c>
      <c r="C37" s="34"/>
      <c r="E37" t="s">
        <v>219</v>
      </c>
    </row>
  </sheetData>
  <sheetProtection/>
  <mergeCells count="24">
    <mergeCell ref="D1:H1"/>
    <mergeCell ref="A4:H4"/>
    <mergeCell ref="B31:F31"/>
    <mergeCell ref="B27:D27"/>
    <mergeCell ref="B28:D28"/>
    <mergeCell ref="B23:D23"/>
    <mergeCell ref="B24:D24"/>
    <mergeCell ref="B25:D25"/>
    <mergeCell ref="B26:D26"/>
    <mergeCell ref="B32:D32"/>
    <mergeCell ref="B30:D30"/>
    <mergeCell ref="B29:D29"/>
    <mergeCell ref="B6:F6"/>
    <mergeCell ref="B13:D13"/>
    <mergeCell ref="B33:E33"/>
    <mergeCell ref="B12:D12"/>
    <mergeCell ref="B14:F14"/>
    <mergeCell ref="B16:D16"/>
    <mergeCell ref="B17:D17"/>
    <mergeCell ref="B18:D18"/>
    <mergeCell ref="B19:D19"/>
    <mergeCell ref="B20:D20"/>
    <mergeCell ref="B21:D21"/>
    <mergeCell ref="B22:D2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4" sqref="E4:E7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91" t="s">
        <v>233</v>
      </c>
      <c r="B1" s="191"/>
      <c r="C1" s="191"/>
      <c r="D1" s="191"/>
      <c r="E1" s="191"/>
      <c r="F1" s="191"/>
      <c r="G1" s="191"/>
      <c r="H1" s="191"/>
      <c r="I1" s="191"/>
    </row>
    <row r="2" spans="1:9" ht="20.25">
      <c r="A2" s="126"/>
      <c r="B2" s="126"/>
      <c r="C2" s="126"/>
      <c r="D2" s="126"/>
      <c r="E2" s="126"/>
      <c r="F2" s="126"/>
      <c r="G2" s="126"/>
      <c r="H2" s="126"/>
      <c r="I2" s="126"/>
    </row>
    <row r="3" spans="1:9" ht="20.25">
      <c r="A3" s="126"/>
      <c r="B3" s="126"/>
      <c r="C3" s="126"/>
      <c r="D3" s="126"/>
      <c r="E3" s="126"/>
      <c r="F3" s="126"/>
      <c r="G3" s="126"/>
      <c r="H3" s="126"/>
      <c r="I3" s="126"/>
    </row>
    <row r="4" spans="1:6" ht="47.25">
      <c r="A4" s="1" t="s">
        <v>77</v>
      </c>
      <c r="B4" s="1" t="s">
        <v>85</v>
      </c>
      <c r="C4" s="2"/>
      <c r="D4" s="141" t="s">
        <v>223</v>
      </c>
      <c r="E4" s="4">
        <v>3752.6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222</v>
      </c>
      <c r="F5" s="2"/>
    </row>
    <row r="6" spans="2:8" ht="15.75">
      <c r="B6" s="3" t="s">
        <v>3</v>
      </c>
      <c r="C6" s="4">
        <v>2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60</v>
      </c>
      <c r="B8" s="246" t="s">
        <v>140</v>
      </c>
      <c r="C8" s="247"/>
      <c r="D8" s="248"/>
      <c r="E8" s="73" t="s">
        <v>6</v>
      </c>
      <c r="F8" s="73" t="s">
        <v>7</v>
      </c>
      <c r="G8" s="118" t="s">
        <v>224</v>
      </c>
      <c r="H8" s="118" t="s">
        <v>225</v>
      </c>
      <c r="I8" s="119" t="s">
        <v>226</v>
      </c>
    </row>
    <row r="9" spans="1:9" ht="38.25">
      <c r="A9" s="142">
        <v>1</v>
      </c>
      <c r="B9" s="209">
        <v>2</v>
      </c>
      <c r="C9" s="210"/>
      <c r="D9" s="260"/>
      <c r="E9" s="143">
        <v>3</v>
      </c>
      <c r="F9" s="143">
        <v>3</v>
      </c>
      <c r="G9" s="143">
        <v>4</v>
      </c>
      <c r="H9" s="143">
        <v>5</v>
      </c>
      <c r="I9" s="130" t="s">
        <v>227</v>
      </c>
    </row>
    <row r="10" spans="1:9" ht="15.75" customHeight="1">
      <c r="A10" s="74">
        <v>1</v>
      </c>
      <c r="B10" s="249" t="s">
        <v>133</v>
      </c>
      <c r="C10" s="249"/>
      <c r="D10" s="249"/>
      <c r="E10" s="249"/>
      <c r="F10" s="249"/>
      <c r="G10" s="75"/>
      <c r="H10" s="144"/>
      <c r="I10" s="76"/>
    </row>
    <row r="11" spans="1:9" ht="15.75" customHeight="1">
      <c r="A11" s="74"/>
      <c r="B11" s="166" t="s">
        <v>190</v>
      </c>
      <c r="C11" s="166"/>
      <c r="D11" s="166"/>
      <c r="E11" s="166"/>
      <c r="F11" s="166"/>
      <c r="G11" s="24">
        <f>G32</f>
        <v>13.77</v>
      </c>
      <c r="H11" s="24">
        <f>H32</f>
        <v>15.300000000000002</v>
      </c>
      <c r="I11" s="82">
        <f>ROUND($E$4*G11*6,0)+ROUND($E$4*H11*6,0)</f>
        <v>654529</v>
      </c>
    </row>
    <row r="12" spans="1:9" ht="15.75" customHeight="1">
      <c r="A12" s="74"/>
      <c r="B12" s="250" t="s">
        <v>134</v>
      </c>
      <c r="C12" s="250"/>
      <c r="D12" s="250"/>
      <c r="E12" s="250"/>
      <c r="F12" s="250"/>
      <c r="G12" s="24">
        <f>G33</f>
        <v>0.8</v>
      </c>
      <c r="H12" s="24">
        <f>H33</f>
        <v>0</v>
      </c>
      <c r="I12" s="82">
        <f>ROUND($E$4*G12*6,0)+ROUND($E$4*H12*6,0)</f>
        <v>18012</v>
      </c>
    </row>
    <row r="13" spans="1:9" ht="15.75" customHeight="1">
      <c r="A13" s="74">
        <v>2</v>
      </c>
      <c r="B13" s="256" t="s">
        <v>65</v>
      </c>
      <c r="C13" s="257"/>
      <c r="D13" s="257"/>
      <c r="E13" s="257"/>
      <c r="F13" s="258"/>
      <c r="G13" s="77"/>
      <c r="H13" s="140"/>
      <c r="I13" s="82"/>
    </row>
    <row r="14" spans="1:9" ht="18.75" customHeight="1">
      <c r="A14" s="74" t="s">
        <v>211</v>
      </c>
      <c r="B14" s="19" t="s">
        <v>66</v>
      </c>
      <c r="C14" s="19"/>
      <c r="D14" s="19"/>
      <c r="E14" s="19"/>
      <c r="F14" s="5"/>
      <c r="G14" s="78"/>
      <c r="H14" s="145"/>
      <c r="I14" s="82"/>
    </row>
    <row r="15" spans="1:9" ht="29.25" customHeight="1">
      <c r="A15" s="79"/>
      <c r="B15" s="259" t="s">
        <v>228</v>
      </c>
      <c r="C15" s="235"/>
      <c r="D15" s="235"/>
      <c r="E15" s="98" t="s">
        <v>32</v>
      </c>
      <c r="F15" s="80" t="s">
        <v>24</v>
      </c>
      <c r="G15" s="81">
        <v>1.29</v>
      </c>
      <c r="H15" s="146">
        <v>1.37</v>
      </c>
      <c r="I15" s="82">
        <f>ROUND($E$4*G15*6,0)+ROUND($E$4*H15*6,0)</f>
        <v>59891</v>
      </c>
    </row>
    <row r="16" spans="1:10" ht="15.75" customHeight="1">
      <c r="A16" s="79"/>
      <c r="B16" s="235" t="s">
        <v>17</v>
      </c>
      <c r="C16" s="235"/>
      <c r="D16" s="235"/>
      <c r="E16" s="98" t="s">
        <v>32</v>
      </c>
      <c r="F16" s="80" t="s">
        <v>19</v>
      </c>
      <c r="G16" s="81">
        <v>0.3</v>
      </c>
      <c r="H16" s="146">
        <v>0.32</v>
      </c>
      <c r="I16" s="82">
        <f aca="true" t="shared" si="0" ref="I16:I33">ROUND($E$4*G16*6,0)+ROUND($E$4*H16*6,0)</f>
        <v>13960</v>
      </c>
      <c r="J16" s="31"/>
    </row>
    <row r="17" spans="1:9" ht="18.75" customHeight="1">
      <c r="A17" s="79"/>
      <c r="B17" s="236" t="s">
        <v>229</v>
      </c>
      <c r="C17" s="236"/>
      <c r="D17" s="236"/>
      <c r="E17" s="102" t="s">
        <v>153</v>
      </c>
      <c r="F17" s="83" t="s">
        <v>20</v>
      </c>
      <c r="G17" s="81">
        <v>1.05</v>
      </c>
      <c r="H17" s="146">
        <v>0.06</v>
      </c>
      <c r="I17" s="82">
        <f t="shared" si="0"/>
        <v>24992</v>
      </c>
    </row>
    <row r="18" spans="1:9" ht="15.75" customHeight="1">
      <c r="A18" s="79"/>
      <c r="B18" s="237" t="s">
        <v>31</v>
      </c>
      <c r="C18" s="237"/>
      <c r="D18" s="237"/>
      <c r="E18" s="104" t="s">
        <v>9</v>
      </c>
      <c r="F18" s="84" t="s">
        <v>10</v>
      </c>
      <c r="G18" s="81">
        <v>0.54</v>
      </c>
      <c r="H18" s="146">
        <v>0.58</v>
      </c>
      <c r="I18" s="82">
        <f t="shared" si="0"/>
        <v>25217</v>
      </c>
    </row>
    <row r="19" spans="1:9" ht="51" customHeight="1">
      <c r="A19" s="79"/>
      <c r="B19" s="236" t="s">
        <v>27</v>
      </c>
      <c r="C19" s="236"/>
      <c r="D19" s="236"/>
      <c r="E19" s="102" t="s">
        <v>154</v>
      </c>
      <c r="F19" s="83" t="s">
        <v>25</v>
      </c>
      <c r="G19" s="81">
        <v>0.13</v>
      </c>
      <c r="H19" s="146">
        <v>0.14</v>
      </c>
      <c r="I19" s="82">
        <f t="shared" si="0"/>
        <v>6079</v>
      </c>
    </row>
    <row r="20" spans="1:9" ht="37.5" customHeight="1">
      <c r="A20" s="79"/>
      <c r="B20" s="236" t="s">
        <v>11</v>
      </c>
      <c r="C20" s="236"/>
      <c r="D20" s="236"/>
      <c r="E20" s="102" t="s">
        <v>9</v>
      </c>
      <c r="F20" s="83" t="s">
        <v>12</v>
      </c>
      <c r="G20" s="81">
        <v>2.35</v>
      </c>
      <c r="H20" s="146">
        <v>2.5</v>
      </c>
      <c r="I20" s="82">
        <f t="shared" si="0"/>
        <v>109201</v>
      </c>
    </row>
    <row r="21" spans="1:9" ht="21" customHeight="1">
      <c r="A21" s="79"/>
      <c r="B21" s="236" t="s">
        <v>26</v>
      </c>
      <c r="C21" s="241"/>
      <c r="D21" s="241"/>
      <c r="E21" s="105" t="s">
        <v>13</v>
      </c>
      <c r="F21" s="77" t="s">
        <v>135</v>
      </c>
      <c r="G21" s="81">
        <v>0.05</v>
      </c>
      <c r="H21" s="146">
        <v>0.05</v>
      </c>
      <c r="I21" s="82">
        <f t="shared" si="0"/>
        <v>2252</v>
      </c>
    </row>
    <row r="22" spans="1:9" ht="51">
      <c r="A22" s="79"/>
      <c r="B22" s="236" t="s">
        <v>71</v>
      </c>
      <c r="C22" s="236"/>
      <c r="D22" s="236"/>
      <c r="E22" s="98" t="s">
        <v>214</v>
      </c>
      <c r="F22" s="83" t="s">
        <v>82</v>
      </c>
      <c r="G22" s="81">
        <v>1.63</v>
      </c>
      <c r="H22" s="146">
        <v>1.74</v>
      </c>
      <c r="I22" s="82">
        <f t="shared" si="0"/>
        <v>75877</v>
      </c>
    </row>
    <row r="23" spans="1:9" ht="55.5" customHeight="1">
      <c r="A23" s="79"/>
      <c r="B23" s="235" t="s">
        <v>15</v>
      </c>
      <c r="C23" s="235"/>
      <c r="D23" s="235"/>
      <c r="E23" s="98" t="s">
        <v>136</v>
      </c>
      <c r="F23" s="83" t="s">
        <v>82</v>
      </c>
      <c r="G23" s="81">
        <v>0.56</v>
      </c>
      <c r="H23" s="146">
        <v>0.6</v>
      </c>
      <c r="I23" s="82">
        <f t="shared" si="0"/>
        <v>26118</v>
      </c>
    </row>
    <row r="24" spans="1:9" ht="28.5" customHeight="1">
      <c r="A24" s="79"/>
      <c r="B24" s="236" t="s">
        <v>36</v>
      </c>
      <c r="C24" s="241"/>
      <c r="D24" s="241"/>
      <c r="E24" s="98" t="s">
        <v>35</v>
      </c>
      <c r="F24" s="83" t="s">
        <v>82</v>
      </c>
      <c r="G24" s="81">
        <f>4.38-G25-G26</f>
        <v>3.7600000000000002</v>
      </c>
      <c r="H24" s="81">
        <f>4.66-H25-H26</f>
        <v>4.33</v>
      </c>
      <c r="I24" s="82">
        <f t="shared" si="0"/>
        <v>182152</v>
      </c>
    </row>
    <row r="25" spans="1:9" ht="15.75" customHeight="1">
      <c r="A25" s="79"/>
      <c r="B25" s="236" t="s">
        <v>191</v>
      </c>
      <c r="C25" s="236"/>
      <c r="D25" s="236"/>
      <c r="E25" s="102" t="s">
        <v>9</v>
      </c>
      <c r="F25" s="83" t="s">
        <v>82</v>
      </c>
      <c r="G25" s="81">
        <v>0.31</v>
      </c>
      <c r="H25" s="146">
        <v>0.33</v>
      </c>
      <c r="I25" s="82">
        <f t="shared" si="0"/>
        <v>14410</v>
      </c>
    </row>
    <row r="26" spans="1:9" ht="21.75" customHeight="1">
      <c r="A26" s="79"/>
      <c r="B26" s="236" t="s">
        <v>156</v>
      </c>
      <c r="C26" s="236"/>
      <c r="D26" s="236"/>
      <c r="E26" s="102" t="s">
        <v>9</v>
      </c>
      <c r="F26" s="83" t="s">
        <v>82</v>
      </c>
      <c r="G26" s="81">
        <v>0.31</v>
      </c>
      <c r="H26" s="146">
        <v>0</v>
      </c>
      <c r="I26" s="82">
        <f t="shared" si="0"/>
        <v>6980</v>
      </c>
    </row>
    <row r="27" spans="1:9" ht="29.25" customHeight="1">
      <c r="A27" s="79"/>
      <c r="B27" s="241" t="s">
        <v>230</v>
      </c>
      <c r="C27" s="241"/>
      <c r="D27" s="241"/>
      <c r="E27" s="98" t="s">
        <v>35</v>
      </c>
      <c r="F27" s="83" t="s">
        <v>82</v>
      </c>
      <c r="G27" s="81">
        <v>1.54</v>
      </c>
      <c r="H27" s="146">
        <v>1.64</v>
      </c>
      <c r="I27" s="82">
        <f t="shared" si="0"/>
        <v>71600</v>
      </c>
    </row>
    <row r="28" spans="1:9" ht="15.75" customHeight="1" hidden="1">
      <c r="A28" s="23"/>
      <c r="B28" s="220" t="s">
        <v>157</v>
      </c>
      <c r="C28" s="221"/>
      <c r="D28" s="222"/>
      <c r="E28" s="102" t="s">
        <v>9</v>
      </c>
      <c r="F28" s="83"/>
      <c r="G28" s="21"/>
      <c r="H28" s="146"/>
      <c r="I28" s="82">
        <f t="shared" si="0"/>
        <v>0</v>
      </c>
    </row>
    <row r="29" spans="1:9" ht="31.5" customHeight="1" hidden="1">
      <c r="A29" s="23"/>
      <c r="B29" s="220" t="s">
        <v>158</v>
      </c>
      <c r="C29" s="221"/>
      <c r="D29" s="222"/>
      <c r="E29" s="98" t="s">
        <v>35</v>
      </c>
      <c r="F29" s="83"/>
      <c r="G29" s="24"/>
      <c r="H29" s="146"/>
      <c r="I29" s="82">
        <f t="shared" si="0"/>
        <v>0</v>
      </c>
    </row>
    <row r="30" spans="1:9" ht="15.75" customHeight="1">
      <c r="A30" s="79"/>
      <c r="B30" s="238" t="s">
        <v>30</v>
      </c>
      <c r="C30" s="239"/>
      <c r="D30" s="240"/>
      <c r="E30" s="14"/>
      <c r="F30" s="83"/>
      <c r="G30" s="21">
        <f>SUM(G17:G29)</f>
        <v>12.23</v>
      </c>
      <c r="H30" s="21">
        <f>SUM(H15:H29)</f>
        <v>13.660000000000002</v>
      </c>
      <c r="I30" s="82">
        <f t="shared" si="0"/>
        <v>582929</v>
      </c>
    </row>
    <row r="31" spans="1:9" ht="21" customHeight="1">
      <c r="A31" s="74" t="s">
        <v>212</v>
      </c>
      <c r="B31" s="227" t="s">
        <v>204</v>
      </c>
      <c r="C31" s="228"/>
      <c r="D31" s="228"/>
      <c r="E31" s="147" t="s">
        <v>210</v>
      </c>
      <c r="F31" s="51" t="s">
        <v>137</v>
      </c>
      <c r="G31" s="24">
        <v>1.54</v>
      </c>
      <c r="H31" s="24">
        <v>1.64</v>
      </c>
      <c r="I31" s="82">
        <f t="shared" si="0"/>
        <v>71600</v>
      </c>
    </row>
    <row r="32" spans="1:9" ht="15.75" customHeight="1">
      <c r="A32" s="74" t="s">
        <v>213</v>
      </c>
      <c r="B32" s="242" t="s">
        <v>193</v>
      </c>
      <c r="C32" s="242"/>
      <c r="D32" s="242"/>
      <c r="E32" s="242"/>
      <c r="F32" s="242"/>
      <c r="G32" s="21">
        <f>SUM(G30:G31)</f>
        <v>13.77</v>
      </c>
      <c r="H32" s="21">
        <f>SUM(H30:H31)</f>
        <v>15.300000000000002</v>
      </c>
      <c r="I32" s="82">
        <f t="shared" si="0"/>
        <v>654529</v>
      </c>
    </row>
    <row r="33" spans="1:9" ht="24" customHeight="1" thickBot="1">
      <c r="A33" s="121" t="s">
        <v>98</v>
      </c>
      <c r="B33" s="243" t="s">
        <v>205</v>
      </c>
      <c r="C33" s="244"/>
      <c r="D33" s="245"/>
      <c r="E33" s="148" t="s">
        <v>210</v>
      </c>
      <c r="F33" s="123" t="s">
        <v>137</v>
      </c>
      <c r="G33" s="137">
        <v>0.8</v>
      </c>
      <c r="H33" s="137">
        <v>0</v>
      </c>
      <c r="I33" s="138">
        <f t="shared" si="0"/>
        <v>18012</v>
      </c>
    </row>
    <row r="34" spans="2:9" ht="59.25" customHeight="1">
      <c r="B34" s="255" t="s">
        <v>231</v>
      </c>
      <c r="C34" s="255"/>
      <c r="D34" s="255"/>
      <c r="E34" s="255"/>
      <c r="G34" s="85"/>
      <c r="H34" s="85"/>
      <c r="I34" s="86"/>
    </row>
    <row r="35" spans="2:9" ht="24.75" customHeight="1">
      <c r="B35" s="149"/>
      <c r="C35" s="149"/>
      <c r="D35" s="149"/>
      <c r="E35" s="149"/>
      <c r="G35" s="85"/>
      <c r="H35" s="85"/>
      <c r="I35" s="86"/>
    </row>
    <row r="36" spans="1:9" ht="15.75" customHeight="1">
      <c r="A36" s="43" t="s">
        <v>232</v>
      </c>
      <c r="B36" s="43"/>
      <c r="C36" s="43"/>
      <c r="D36" s="34"/>
      <c r="G36" s="85"/>
      <c r="H36" s="85"/>
      <c r="I36" s="86"/>
    </row>
  </sheetData>
  <mergeCells count="27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B7" sqref="B7:D7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12.875" style="0" hidden="1" customWidth="1"/>
    <col min="8" max="8" width="13.25390625" style="0" hidden="1" customWidth="1"/>
    <col min="9" max="9" width="12.00390625" style="0" hidden="1" customWidth="1"/>
    <col min="10" max="10" width="23.125" style="0" customWidth="1"/>
    <col min="11" max="11" width="20.25390625" style="0" hidden="1" customWidth="1"/>
    <col min="12" max="12" width="9.00390625" style="0" hidden="1" customWidth="1"/>
  </cols>
  <sheetData>
    <row r="1" spans="1:11" ht="111" customHeight="1">
      <c r="A1" s="191" t="s">
        <v>238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67.5" customHeight="1">
      <c r="A2" s="174" t="s">
        <v>239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9" ht="31.5">
      <c r="A3" s="1" t="s">
        <v>77</v>
      </c>
      <c r="B3" s="1" t="s">
        <v>85</v>
      </c>
      <c r="C3" s="2"/>
      <c r="D3" s="141" t="s">
        <v>223</v>
      </c>
      <c r="E3" s="4">
        <v>3752.6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 t="s">
        <v>222</v>
      </c>
      <c r="F4" s="2"/>
    </row>
    <row r="5" spans="2:9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22" t="s">
        <v>60</v>
      </c>
      <c r="B7" s="209" t="s">
        <v>140</v>
      </c>
      <c r="C7" s="210"/>
      <c r="D7" s="211"/>
      <c r="E7" s="11" t="s">
        <v>6</v>
      </c>
      <c r="F7" s="11" t="s">
        <v>7</v>
      </c>
      <c r="G7" s="150" t="s">
        <v>245</v>
      </c>
      <c r="H7" s="212" t="s">
        <v>246</v>
      </c>
      <c r="I7" s="213"/>
      <c r="J7" s="214"/>
      <c r="K7" s="57">
        <v>4</v>
      </c>
      <c r="L7" s="151" t="s">
        <v>240</v>
      </c>
    </row>
    <row r="8" spans="1:10" ht="15.75">
      <c r="A8" s="23">
        <v>1</v>
      </c>
      <c r="B8" s="198"/>
      <c r="C8" s="199"/>
      <c r="D8" s="199"/>
      <c r="E8" s="199"/>
      <c r="F8" s="200"/>
      <c r="G8" s="152"/>
      <c r="H8" s="153" t="s">
        <v>142</v>
      </c>
      <c r="I8" s="91" t="s">
        <v>143</v>
      </c>
      <c r="J8" s="91" t="s">
        <v>144</v>
      </c>
    </row>
    <row r="9" spans="1:10" ht="15.75">
      <c r="A9" s="23"/>
      <c r="B9" s="198" t="s">
        <v>145</v>
      </c>
      <c r="C9" s="199"/>
      <c r="D9" s="199"/>
      <c r="E9" s="199"/>
      <c r="F9" s="200"/>
      <c r="G9" s="58"/>
      <c r="H9" s="58"/>
      <c r="I9" s="58"/>
      <c r="J9" s="91"/>
    </row>
    <row r="10" spans="1:10" ht="15.75">
      <c r="A10" s="92"/>
      <c r="B10" s="215" t="s">
        <v>146</v>
      </c>
      <c r="C10" s="215"/>
      <c r="D10" s="215"/>
      <c r="E10" s="215"/>
      <c r="F10" s="215"/>
      <c r="G10" s="15"/>
      <c r="H10" s="93">
        <v>228901.65</v>
      </c>
      <c r="I10" s="75"/>
      <c r="J10" s="94">
        <f>H10+I10</f>
        <v>228901.65</v>
      </c>
    </row>
    <row r="11" spans="1:10" ht="15.75">
      <c r="A11" s="92"/>
      <c r="B11" s="215" t="s">
        <v>147</v>
      </c>
      <c r="C11" s="215"/>
      <c r="D11" s="215"/>
      <c r="E11" s="215"/>
      <c r="F11" s="215"/>
      <c r="G11" s="15"/>
      <c r="H11" s="16">
        <v>10211.39</v>
      </c>
      <c r="I11" s="75"/>
      <c r="J11" s="94">
        <f>H11+I11</f>
        <v>10211.39</v>
      </c>
    </row>
    <row r="12" spans="1:10" ht="15.75">
      <c r="A12" s="23"/>
      <c r="B12" s="215" t="s">
        <v>148</v>
      </c>
      <c r="C12" s="215"/>
      <c r="D12" s="215"/>
      <c r="E12" s="215"/>
      <c r="F12" s="215"/>
      <c r="G12" s="15"/>
      <c r="H12" s="93"/>
      <c r="I12" s="75">
        <v>4034.06</v>
      </c>
      <c r="J12" s="94">
        <f>H12+I12</f>
        <v>4034.06</v>
      </c>
    </row>
    <row r="13" spans="1:10" ht="15.75">
      <c r="A13" s="23"/>
      <c r="B13" s="215" t="s">
        <v>234</v>
      </c>
      <c r="C13" s="215"/>
      <c r="D13" s="215"/>
      <c r="E13" s="215"/>
      <c r="F13" s="215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166" t="s">
        <v>150</v>
      </c>
      <c r="C14" s="166"/>
      <c r="D14" s="166"/>
      <c r="E14" s="166"/>
      <c r="F14" s="166"/>
      <c r="G14" s="15"/>
      <c r="H14" s="96">
        <f>SUM(H10:H12)</f>
        <v>239113.03999999998</v>
      </c>
      <c r="I14" s="97">
        <f>SUM(I10:I12)</f>
        <v>4034.06</v>
      </c>
      <c r="J14" s="96">
        <f>SUM(J10:J13)</f>
        <v>243147.09999999998</v>
      </c>
    </row>
    <row r="15" spans="1:10" ht="18.75">
      <c r="A15" s="23">
        <v>2</v>
      </c>
      <c r="B15" s="262" t="s">
        <v>65</v>
      </c>
      <c r="C15" s="262"/>
      <c r="D15" s="262"/>
      <c r="E15" s="262"/>
      <c r="F15" s="262"/>
      <c r="G15" s="15"/>
      <c r="H15" s="93"/>
      <c r="I15" s="75"/>
      <c r="J15" s="35"/>
    </row>
    <row r="16" spans="1:10" ht="15.75">
      <c r="A16" s="23" t="s">
        <v>151</v>
      </c>
      <c r="B16" s="154" t="s">
        <v>66</v>
      </c>
      <c r="C16" s="154"/>
      <c r="D16" s="154"/>
      <c r="E16" s="154"/>
      <c r="F16" s="112"/>
      <c r="G16" s="153"/>
      <c r="H16" s="153"/>
      <c r="I16" s="88"/>
      <c r="J16" s="91"/>
    </row>
    <row r="17" spans="1:10" ht="33" customHeight="1">
      <c r="A17" s="26"/>
      <c r="B17" s="218" t="s">
        <v>241</v>
      </c>
      <c r="C17" s="218"/>
      <c r="D17" s="218"/>
      <c r="E17" s="98" t="s">
        <v>32</v>
      </c>
      <c r="F17" s="80" t="s">
        <v>24</v>
      </c>
      <c r="G17" s="81">
        <v>1.29</v>
      </c>
      <c r="H17" s="99">
        <f>ROUND($E$3*G17*$K$7,2)</f>
        <v>19363.42</v>
      </c>
      <c r="I17" s="100"/>
      <c r="J17" s="101">
        <f>SUM(H17:I17)</f>
        <v>19363.42</v>
      </c>
    </row>
    <row r="18" spans="1:10" ht="17.25" customHeight="1">
      <c r="A18" s="23"/>
      <c r="B18" s="219" t="s">
        <v>17</v>
      </c>
      <c r="C18" s="219"/>
      <c r="D18" s="219"/>
      <c r="E18" s="98" t="s">
        <v>32</v>
      </c>
      <c r="F18" s="80" t="s">
        <v>19</v>
      </c>
      <c r="G18" s="81">
        <v>0.3</v>
      </c>
      <c r="H18" s="99">
        <f>ROUND($E$3*G18*$K$7,2)</f>
        <v>4503.12</v>
      </c>
      <c r="I18" s="100"/>
      <c r="J18" s="101">
        <f>SUM(H18:I18)</f>
        <v>4503.12</v>
      </c>
    </row>
    <row r="19" spans="1:10" ht="20.25" customHeight="1">
      <c r="A19" s="23"/>
      <c r="B19" s="216" t="s">
        <v>23</v>
      </c>
      <c r="C19" s="216"/>
      <c r="D19" s="216"/>
      <c r="E19" s="102" t="s">
        <v>153</v>
      </c>
      <c r="F19" s="83" t="s">
        <v>20</v>
      </c>
      <c r="G19" s="81">
        <v>1.05</v>
      </c>
      <c r="H19" s="99">
        <f>J19-I19</f>
        <v>1233.54</v>
      </c>
      <c r="I19" s="100"/>
      <c r="J19" s="103">
        <v>1233.54</v>
      </c>
    </row>
    <row r="20" spans="1:10" ht="20.25" customHeight="1">
      <c r="A20" s="26"/>
      <c r="B20" s="218" t="s">
        <v>31</v>
      </c>
      <c r="C20" s="218"/>
      <c r="D20" s="218"/>
      <c r="E20" s="104" t="s">
        <v>9</v>
      </c>
      <c r="F20" s="84" t="s">
        <v>10</v>
      </c>
      <c r="G20" s="81">
        <v>0.54</v>
      </c>
      <c r="H20" s="99">
        <f>ROUND($E$3*G20*$K$7,2)</f>
        <v>8105.62</v>
      </c>
      <c r="I20" s="100"/>
      <c r="J20" s="101">
        <f>SUM(H20:I20)</f>
        <v>8105.62</v>
      </c>
    </row>
    <row r="21" spans="1:10" ht="66" customHeight="1">
      <c r="A21" s="23"/>
      <c r="B21" s="216" t="s">
        <v>27</v>
      </c>
      <c r="C21" s="216"/>
      <c r="D21" s="216"/>
      <c r="E21" s="102" t="s">
        <v>154</v>
      </c>
      <c r="F21" s="83" t="s">
        <v>25</v>
      </c>
      <c r="G21" s="81">
        <v>0.13</v>
      </c>
      <c r="H21" s="99">
        <f>J21-I21</f>
        <v>90</v>
      </c>
      <c r="I21" s="100"/>
      <c r="J21" s="103">
        <v>90</v>
      </c>
    </row>
    <row r="22" spans="1:10" ht="20.25" customHeight="1">
      <c r="A22" s="26"/>
      <c r="B22" s="216" t="s">
        <v>11</v>
      </c>
      <c r="C22" s="216"/>
      <c r="D22" s="216"/>
      <c r="E22" s="102" t="s">
        <v>9</v>
      </c>
      <c r="F22" s="83" t="s">
        <v>12</v>
      </c>
      <c r="G22" s="81">
        <v>2.35</v>
      </c>
      <c r="H22" s="99">
        <f>ROUND($E$3*G22*$K$7,2)</f>
        <v>35274.44</v>
      </c>
      <c r="I22" s="100"/>
      <c r="J22" s="103">
        <f>H22</f>
        <v>35274.44</v>
      </c>
    </row>
    <row r="23" spans="1:10" ht="20.25" customHeight="1">
      <c r="A23" s="26"/>
      <c r="B23" s="216" t="s">
        <v>26</v>
      </c>
      <c r="C23" s="217"/>
      <c r="D23" s="217"/>
      <c r="E23" s="105" t="s">
        <v>13</v>
      </c>
      <c r="F23" s="77" t="s">
        <v>14</v>
      </c>
      <c r="G23" s="81">
        <v>0.05</v>
      </c>
      <c r="H23" s="99">
        <f>J23-I23</f>
        <v>747.3</v>
      </c>
      <c r="I23" s="100"/>
      <c r="J23" s="103">
        <v>747.3</v>
      </c>
    </row>
    <row r="24" spans="1:10" ht="51.75" customHeight="1">
      <c r="A24" s="23"/>
      <c r="B24" s="216" t="s">
        <v>71</v>
      </c>
      <c r="C24" s="216"/>
      <c r="D24" s="216"/>
      <c r="E24" s="98" t="s">
        <v>214</v>
      </c>
      <c r="F24" s="46" t="s">
        <v>82</v>
      </c>
      <c r="G24" s="81">
        <v>1.63</v>
      </c>
      <c r="H24" s="99">
        <f aca="true" t="shared" si="0" ref="H24:H29">ROUND($E$3*G24*$K$7,2)</f>
        <v>24466.95</v>
      </c>
      <c r="I24" s="100"/>
      <c r="J24" s="101">
        <f aca="true" t="shared" si="1" ref="J24:J29">SUM(H24:I24)</f>
        <v>24466.95</v>
      </c>
    </row>
    <row r="25" spans="1:10" ht="53.25" customHeight="1">
      <c r="A25" s="23"/>
      <c r="B25" s="219" t="s">
        <v>15</v>
      </c>
      <c r="C25" s="219"/>
      <c r="D25" s="219"/>
      <c r="E25" s="98" t="s">
        <v>136</v>
      </c>
      <c r="F25" s="46" t="s">
        <v>82</v>
      </c>
      <c r="G25" s="81">
        <v>0.56</v>
      </c>
      <c r="H25" s="99">
        <f>J25-I25</f>
        <v>8456.44</v>
      </c>
      <c r="I25" s="100"/>
      <c r="J25" s="101">
        <v>8456.44</v>
      </c>
    </row>
    <row r="26" spans="1:10" ht="30" customHeight="1">
      <c r="A26" s="23"/>
      <c r="B26" s="226" t="s">
        <v>36</v>
      </c>
      <c r="C26" s="224"/>
      <c r="D26" s="225"/>
      <c r="E26" s="98" t="s">
        <v>35</v>
      </c>
      <c r="F26" s="46" t="s">
        <v>82</v>
      </c>
      <c r="G26" s="81">
        <f>4.38-G27-G28</f>
        <v>3.7600000000000002</v>
      </c>
      <c r="H26" s="99">
        <f t="shared" si="0"/>
        <v>56439.1</v>
      </c>
      <c r="I26" s="107"/>
      <c r="J26" s="101">
        <f t="shared" si="1"/>
        <v>56439.1</v>
      </c>
    </row>
    <row r="27" spans="1:10" ht="26.25" customHeight="1">
      <c r="A27" s="26"/>
      <c r="B27" s="216" t="s">
        <v>155</v>
      </c>
      <c r="C27" s="216"/>
      <c r="D27" s="216"/>
      <c r="E27" s="102" t="s">
        <v>9</v>
      </c>
      <c r="F27" s="46" t="s">
        <v>82</v>
      </c>
      <c r="G27" s="81">
        <v>0.31</v>
      </c>
      <c r="H27" s="99">
        <f t="shared" si="0"/>
        <v>4653.22</v>
      </c>
      <c r="I27" s="107"/>
      <c r="J27" s="101">
        <f t="shared" si="1"/>
        <v>4653.22</v>
      </c>
    </row>
    <row r="28" spans="1:10" ht="17.25" customHeight="1">
      <c r="A28" s="23"/>
      <c r="B28" s="216" t="s">
        <v>156</v>
      </c>
      <c r="C28" s="216"/>
      <c r="D28" s="216"/>
      <c r="E28" s="102" t="s">
        <v>9</v>
      </c>
      <c r="F28" s="46" t="s">
        <v>82</v>
      </c>
      <c r="G28" s="81">
        <v>0.31</v>
      </c>
      <c r="H28" s="99">
        <f t="shared" si="0"/>
        <v>4653.22</v>
      </c>
      <c r="I28" s="107"/>
      <c r="J28" s="101">
        <f t="shared" si="1"/>
        <v>4653.22</v>
      </c>
    </row>
    <row r="29" spans="1:10" ht="29.25" customHeight="1">
      <c r="A29" s="23"/>
      <c r="B29" s="217" t="s">
        <v>21</v>
      </c>
      <c r="C29" s="217"/>
      <c r="D29" s="217"/>
      <c r="E29" s="98" t="s">
        <v>35</v>
      </c>
      <c r="F29" s="46" t="s">
        <v>82</v>
      </c>
      <c r="G29" s="81">
        <v>1.54</v>
      </c>
      <c r="H29" s="99">
        <f t="shared" si="0"/>
        <v>23116.02</v>
      </c>
      <c r="I29" s="100"/>
      <c r="J29" s="101">
        <f t="shared" si="1"/>
        <v>23116.02</v>
      </c>
    </row>
    <row r="30" spans="1:10" ht="15.75">
      <c r="A30" s="23"/>
      <c r="B30" s="223"/>
      <c r="C30" s="224"/>
      <c r="D30" s="225"/>
      <c r="E30" s="147"/>
      <c r="F30" s="46"/>
      <c r="G30" s="77"/>
      <c r="H30" s="106"/>
      <c r="I30" s="95"/>
      <c r="J30" s="108"/>
    </row>
    <row r="31" spans="1:10" ht="15.75">
      <c r="A31" s="23"/>
      <c r="B31" s="263" t="s">
        <v>30</v>
      </c>
      <c r="C31" s="263"/>
      <c r="D31" s="263"/>
      <c r="E31" s="23"/>
      <c r="F31" s="46"/>
      <c r="G31" s="24">
        <f>SUM(G17:G29)</f>
        <v>13.82</v>
      </c>
      <c r="H31" s="116">
        <f>SUM(H17:H30)</f>
        <v>191102.38999999998</v>
      </c>
      <c r="I31" s="97"/>
      <c r="J31" s="116">
        <f>SUM(J17:J30)</f>
        <v>191102.38999999998</v>
      </c>
    </row>
    <row r="32" spans="1:10" ht="15.75" hidden="1">
      <c r="A32" s="23"/>
      <c r="B32" s="220" t="s">
        <v>157</v>
      </c>
      <c r="C32" s="221"/>
      <c r="D32" s="222"/>
      <c r="E32" s="147" t="s">
        <v>9</v>
      </c>
      <c r="F32" s="46"/>
      <c r="G32" s="77"/>
      <c r="H32" s="106"/>
      <c r="I32" s="95"/>
      <c r="J32" s="108"/>
    </row>
    <row r="33" spans="1:10" ht="25.5" hidden="1">
      <c r="A33" s="23"/>
      <c r="B33" s="220" t="s">
        <v>158</v>
      </c>
      <c r="C33" s="221"/>
      <c r="D33" s="222"/>
      <c r="E33" s="155" t="s">
        <v>35</v>
      </c>
      <c r="F33" s="46"/>
      <c r="G33" s="77"/>
      <c r="H33" s="106"/>
      <c r="I33" s="95"/>
      <c r="J33" s="108"/>
    </row>
    <row r="34" spans="1:10" ht="15.75" hidden="1">
      <c r="A34" s="23"/>
      <c r="B34" s="223"/>
      <c r="C34" s="224"/>
      <c r="D34" s="225"/>
      <c r="E34" s="147"/>
      <c r="F34" s="46"/>
      <c r="G34" s="77"/>
      <c r="H34" s="106"/>
      <c r="I34" s="95"/>
      <c r="J34" s="108"/>
    </row>
    <row r="35" spans="1:10" ht="15" customHeight="1">
      <c r="A35" s="23" t="s">
        <v>159</v>
      </c>
      <c r="B35" s="227" t="s">
        <v>160</v>
      </c>
      <c r="C35" s="228"/>
      <c r="D35" s="228"/>
      <c r="E35" s="229"/>
      <c r="F35" s="46" t="s">
        <v>82</v>
      </c>
      <c r="G35" s="24">
        <f>H35/E3/$K$7</f>
        <v>7.510126312423386</v>
      </c>
      <c r="H35" s="156">
        <v>112730</v>
      </c>
      <c r="I35" s="110"/>
      <c r="J35" s="96">
        <f>SUM(H35:I35)</f>
        <v>112730</v>
      </c>
    </row>
    <row r="36" spans="1:10" ht="14.25" customHeight="1">
      <c r="A36" s="25"/>
      <c r="B36" s="231" t="s">
        <v>69</v>
      </c>
      <c r="C36" s="231"/>
      <c r="D36" s="231"/>
      <c r="E36" s="231"/>
      <c r="F36" s="231"/>
      <c r="G36" s="24">
        <f>SUM(G31:G35)</f>
        <v>21.33012631242339</v>
      </c>
      <c r="H36" s="157">
        <f>SUM(H31:H35)</f>
        <v>303832.39</v>
      </c>
      <c r="I36" s="158"/>
      <c r="J36" s="157">
        <f>SUM(J31:J35)</f>
        <v>303832.39</v>
      </c>
    </row>
    <row r="37" spans="1:10" ht="15.75">
      <c r="A37" s="23" t="s">
        <v>161</v>
      </c>
      <c r="B37" s="231" t="s">
        <v>162</v>
      </c>
      <c r="C37" s="231"/>
      <c r="D37" s="231"/>
      <c r="E37" s="231"/>
      <c r="F37" s="231"/>
      <c r="G37" s="24">
        <f>H37/E3/$K$7</f>
        <v>0</v>
      </c>
      <c r="H37" s="113">
        <v>0</v>
      </c>
      <c r="I37" s="113"/>
      <c r="J37" s="114">
        <f>SUM(H37:I37)</f>
        <v>0</v>
      </c>
    </row>
    <row r="38" spans="1:10" ht="24.75" customHeight="1">
      <c r="A38" s="25"/>
      <c r="B38" s="231" t="s">
        <v>163</v>
      </c>
      <c r="C38" s="231"/>
      <c r="D38" s="231"/>
      <c r="E38" s="231"/>
      <c r="F38" s="231"/>
      <c r="G38" s="24">
        <f>SUM(G36:G37)</f>
        <v>21.33012631242339</v>
      </c>
      <c r="H38" s="157">
        <f>SUM(H36:H37)</f>
        <v>303832.39</v>
      </c>
      <c r="I38" s="158"/>
      <c r="J38" s="157">
        <f>SUM(J36:J37)</f>
        <v>303832.39</v>
      </c>
    </row>
    <row r="39" spans="1:10" ht="27" customHeight="1">
      <c r="A39" s="23">
        <v>3</v>
      </c>
      <c r="B39" s="232" t="s">
        <v>247</v>
      </c>
      <c r="C39" s="233"/>
      <c r="D39" s="233"/>
      <c r="E39" s="233"/>
      <c r="F39" s="233"/>
      <c r="G39" s="139"/>
      <c r="H39" s="99">
        <f>H14-H38</f>
        <v>-64719.350000000035</v>
      </c>
      <c r="I39" s="99"/>
      <c r="J39" s="97">
        <f>J14-J38</f>
        <v>-60685.29000000004</v>
      </c>
    </row>
    <row r="40" spans="2:6" ht="15.75">
      <c r="B40" s="34"/>
      <c r="F40" s="34"/>
    </row>
    <row r="41" spans="2:9" ht="36" customHeight="1">
      <c r="B41" s="261" t="s">
        <v>242</v>
      </c>
      <c r="C41" s="261"/>
      <c r="D41" s="261"/>
      <c r="E41" s="261"/>
      <c r="F41" s="261"/>
      <c r="G41" s="261"/>
      <c r="H41" s="261"/>
      <c r="I41" s="261"/>
    </row>
    <row r="42" spans="2:4" ht="25.5" customHeight="1">
      <c r="B42" s="34"/>
      <c r="C42" s="34"/>
      <c r="D42" s="34"/>
    </row>
    <row r="43" spans="2:4" ht="15.75">
      <c r="B43" s="159" t="s">
        <v>79</v>
      </c>
      <c r="C43" s="159"/>
      <c r="D43" s="159"/>
    </row>
    <row r="44" spans="2:4" ht="15.75">
      <c r="B44" s="47" t="s">
        <v>243</v>
      </c>
      <c r="C44" s="47"/>
      <c r="D44" s="159"/>
    </row>
    <row r="45" spans="2:4" ht="15.75" customHeight="1">
      <c r="B45" s="196" t="s">
        <v>244</v>
      </c>
      <c r="C45" s="196"/>
      <c r="D45" s="196"/>
    </row>
    <row r="47" ht="15.75">
      <c r="B47" t="s">
        <v>235</v>
      </c>
    </row>
    <row r="48" ht="15.75">
      <c r="J48" s="85"/>
    </row>
    <row r="49" ht="15.75">
      <c r="J49" s="85"/>
    </row>
  </sheetData>
  <mergeCells count="37">
    <mergeCell ref="B45:D45"/>
    <mergeCell ref="A1:K1"/>
    <mergeCell ref="A2:K2"/>
    <mergeCell ref="B35:E35"/>
    <mergeCell ref="B36:F36"/>
    <mergeCell ref="B37:F37"/>
    <mergeCell ref="B38:F38"/>
    <mergeCell ref="B27:D27"/>
    <mergeCell ref="B28:D28"/>
    <mergeCell ref="B33:D33"/>
    <mergeCell ref="B34:D34"/>
    <mergeCell ref="B29:D29"/>
    <mergeCell ref="B30:D30"/>
    <mergeCell ref="B31:D31"/>
    <mergeCell ref="B32:D32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7:D7"/>
    <mergeCell ref="H7:J7"/>
    <mergeCell ref="B39:F39"/>
    <mergeCell ref="B41:I41"/>
    <mergeCell ref="B8:F8"/>
    <mergeCell ref="B9:F9"/>
    <mergeCell ref="B10:F10"/>
    <mergeCell ref="B11:F11"/>
    <mergeCell ref="B12:F12"/>
    <mergeCell ref="B13:F13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T6" sqref="T6"/>
    </sheetView>
  </sheetViews>
  <sheetFormatPr defaultColWidth="9.00390625" defaultRowHeight="15.75"/>
  <cols>
    <col min="1" max="1" width="12.125" style="170" bestFit="1" customWidth="1"/>
    <col min="2" max="2" width="10.75390625" style="170" customWidth="1"/>
    <col min="3" max="3" width="12.625" style="170" bestFit="1" customWidth="1"/>
    <col min="4" max="4" width="9.875" style="170" bestFit="1" customWidth="1"/>
    <col min="5" max="6" width="12.625" style="170" bestFit="1" customWidth="1"/>
    <col min="7" max="7" width="9.875" style="170" bestFit="1" customWidth="1"/>
    <col min="8" max="8" width="12.625" style="170" bestFit="1" customWidth="1"/>
    <col min="9" max="9" width="11.625" style="170" customWidth="1"/>
    <col min="10" max="10" width="7.875" style="170" bestFit="1" customWidth="1"/>
    <col min="11" max="11" width="9.00390625" style="170" customWidth="1"/>
    <col min="12" max="12" width="11.875" style="170" bestFit="1" customWidth="1"/>
    <col min="13" max="13" width="12.625" style="170" bestFit="1" customWidth="1"/>
    <col min="14" max="14" width="9.875" style="170" bestFit="1" customWidth="1"/>
    <col min="15" max="15" width="11.375" style="170" bestFit="1" customWidth="1"/>
    <col min="16" max="16" width="11.00390625" style="170" bestFit="1" customWidth="1"/>
    <col min="17" max="17" width="8.50390625" style="170" bestFit="1" customWidth="1"/>
    <col min="18" max="18" width="12.625" style="170" bestFit="1" customWidth="1"/>
    <col min="19" max="19" width="12.875" style="170" customWidth="1"/>
    <col min="20" max="16384" width="9.00390625" style="170" customWidth="1"/>
  </cols>
  <sheetData>
    <row r="1" spans="1:19" ht="109.5" customHeight="1" thickBot="1">
      <c r="A1" s="264" t="s">
        <v>251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15.75" customHeight="1">
      <c r="A2" s="265" t="s">
        <v>165</v>
      </c>
      <c r="B2" s="267" t="s">
        <v>166</v>
      </c>
      <c r="C2" s="267" t="s">
        <v>167</v>
      </c>
      <c r="D2" s="267"/>
      <c r="E2" s="267"/>
      <c r="F2" s="267"/>
      <c r="G2" s="267"/>
      <c r="H2" s="267"/>
      <c r="I2" s="267"/>
      <c r="J2" s="269" t="s">
        <v>168</v>
      </c>
      <c r="K2" s="269"/>
      <c r="L2" s="269"/>
      <c r="M2" s="270" t="s">
        <v>169</v>
      </c>
      <c r="N2" s="267" t="s">
        <v>170</v>
      </c>
      <c r="O2" s="267"/>
      <c r="P2" s="267"/>
      <c r="Q2" s="267"/>
      <c r="R2" s="267"/>
      <c r="S2" s="273" t="s">
        <v>248</v>
      </c>
    </row>
    <row r="3" spans="1:19" ht="15.75">
      <c r="A3" s="266"/>
      <c r="B3" s="268"/>
      <c r="C3" s="275" t="s">
        <v>171</v>
      </c>
      <c r="D3" s="276"/>
      <c r="E3" s="277"/>
      <c r="F3" s="275" t="s">
        <v>172</v>
      </c>
      <c r="G3" s="276"/>
      <c r="H3" s="277"/>
      <c r="I3" s="281" t="s">
        <v>173</v>
      </c>
      <c r="J3" s="278" t="s">
        <v>174</v>
      </c>
      <c r="K3" s="280" t="s">
        <v>175</v>
      </c>
      <c r="L3" s="278" t="s">
        <v>176</v>
      </c>
      <c r="M3" s="271"/>
      <c r="N3" s="281" t="s">
        <v>177</v>
      </c>
      <c r="O3" s="268" t="s">
        <v>178</v>
      </c>
      <c r="P3" s="268" t="s">
        <v>179</v>
      </c>
      <c r="Q3" s="268" t="s">
        <v>180</v>
      </c>
      <c r="R3" s="268" t="s">
        <v>181</v>
      </c>
      <c r="S3" s="274"/>
    </row>
    <row r="4" spans="1:19" ht="47.25" customHeight="1">
      <c r="A4" s="266"/>
      <c r="B4" s="268"/>
      <c r="C4" s="176" t="s">
        <v>182</v>
      </c>
      <c r="D4" s="175" t="s">
        <v>180</v>
      </c>
      <c r="E4" s="175" t="s">
        <v>181</v>
      </c>
      <c r="F4" s="176" t="s">
        <v>182</v>
      </c>
      <c r="G4" s="175" t="s">
        <v>180</v>
      </c>
      <c r="H4" s="175" t="s">
        <v>181</v>
      </c>
      <c r="I4" s="281"/>
      <c r="J4" s="279"/>
      <c r="K4" s="272"/>
      <c r="L4" s="279"/>
      <c r="M4" s="272"/>
      <c r="N4" s="268"/>
      <c r="O4" s="268"/>
      <c r="P4" s="268"/>
      <c r="Q4" s="268"/>
      <c r="R4" s="268"/>
      <c r="S4" s="274"/>
    </row>
    <row r="5" spans="1:19" ht="31.5">
      <c r="A5" s="171">
        <v>1</v>
      </c>
      <c r="B5" s="175">
        <v>2</v>
      </c>
      <c r="C5" s="176">
        <v>3</v>
      </c>
      <c r="D5" s="175">
        <v>4</v>
      </c>
      <c r="E5" s="175" t="s">
        <v>183</v>
      </c>
      <c r="F5" s="176">
        <v>6</v>
      </c>
      <c r="G5" s="175">
        <v>7</v>
      </c>
      <c r="H5" s="175" t="s">
        <v>184</v>
      </c>
      <c r="I5" s="176" t="s">
        <v>185</v>
      </c>
      <c r="J5" s="175">
        <v>10</v>
      </c>
      <c r="K5" s="175">
        <v>11</v>
      </c>
      <c r="L5" s="176">
        <v>12</v>
      </c>
      <c r="M5" s="176" t="s">
        <v>186</v>
      </c>
      <c r="N5" s="175">
        <v>14</v>
      </c>
      <c r="O5" s="176">
        <v>15</v>
      </c>
      <c r="P5" s="175">
        <v>16</v>
      </c>
      <c r="Q5" s="175">
        <v>17</v>
      </c>
      <c r="R5" s="176" t="s">
        <v>187</v>
      </c>
      <c r="S5" s="177" t="s">
        <v>188</v>
      </c>
    </row>
    <row r="6" spans="1:19" ht="15.75">
      <c r="A6" s="178">
        <v>-116396.02</v>
      </c>
      <c r="B6" s="179" t="s">
        <v>252</v>
      </c>
      <c r="C6" s="180">
        <v>212321.1</v>
      </c>
      <c r="D6" s="180">
        <v>10101.04</v>
      </c>
      <c r="E6" s="180">
        <f>C6+D6</f>
        <v>222422.14</v>
      </c>
      <c r="F6" s="180">
        <f>'отчет12(09-12)'!H10</f>
        <v>228901.65</v>
      </c>
      <c r="G6" s="180">
        <f>'отчет12(09-12)'!H11</f>
        <v>10211.39</v>
      </c>
      <c r="H6" s="180">
        <f>SUM(F6:G6)</f>
        <v>239113.03999999998</v>
      </c>
      <c r="I6" s="181">
        <f>E6-H6</f>
        <v>-16690.899999999965</v>
      </c>
      <c r="J6" s="180">
        <f>'отчет12(09-12)'!I12</f>
        <v>4034.06</v>
      </c>
      <c r="K6" s="180">
        <v>0</v>
      </c>
      <c r="L6" s="180">
        <v>0</v>
      </c>
      <c r="M6" s="180">
        <f>H6+J6+K6+L6</f>
        <v>243147.09999999998</v>
      </c>
      <c r="N6" s="180">
        <f>'отчет12(09-12)'!J29</f>
        <v>23116.02</v>
      </c>
      <c r="O6" s="180">
        <f>'отчет12(09-12)'!J31-'отчет12(09-12)'!J29</f>
        <v>167986.37</v>
      </c>
      <c r="P6" s="180">
        <f>'отчет12(09-12)'!H35</f>
        <v>112730</v>
      </c>
      <c r="Q6" s="181">
        <f>'[1]отчет12(10-12)'!H37</f>
        <v>0</v>
      </c>
      <c r="R6" s="180">
        <f>SUM(N6:Q6)</f>
        <v>303832.39</v>
      </c>
      <c r="S6" s="182">
        <f>M6-R6</f>
        <v>-60685.29000000004</v>
      </c>
    </row>
    <row r="7" spans="1:19" ht="15.75">
      <c r="A7" s="178"/>
      <c r="B7" s="179"/>
      <c r="C7" s="180"/>
      <c r="D7" s="180"/>
      <c r="E7" s="180">
        <f>SUM(C7:D7)</f>
        <v>0</v>
      </c>
      <c r="F7" s="180"/>
      <c r="G7" s="180"/>
      <c r="H7" s="180">
        <f>SUM(F7:G7)</f>
        <v>0</v>
      </c>
      <c r="I7" s="181">
        <f>E7-H7</f>
        <v>0</v>
      </c>
      <c r="J7" s="180">
        <v>0</v>
      </c>
      <c r="K7" s="180">
        <v>0</v>
      </c>
      <c r="L7" s="180">
        <v>0</v>
      </c>
      <c r="M7" s="180">
        <f>H7+J7+K7+L7</f>
        <v>0</v>
      </c>
      <c r="N7" s="180"/>
      <c r="O7" s="180"/>
      <c r="P7" s="180"/>
      <c r="Q7" s="181">
        <v>0</v>
      </c>
      <c r="R7" s="180">
        <f>SUM(N7:Q7)</f>
        <v>0</v>
      </c>
      <c r="S7" s="182">
        <f>M7-R7</f>
        <v>0</v>
      </c>
    </row>
    <row r="8" spans="1:19" ht="15.75">
      <c r="A8" s="178"/>
      <c r="B8" s="179"/>
      <c r="C8" s="180"/>
      <c r="D8" s="180"/>
      <c r="E8" s="180">
        <f>SUM(C8:D8)</f>
        <v>0</v>
      </c>
      <c r="F8" s="180"/>
      <c r="G8" s="180"/>
      <c r="H8" s="180">
        <f>SUM(F8:G8)</f>
        <v>0</v>
      </c>
      <c r="I8" s="181">
        <f>E8-H8</f>
        <v>0</v>
      </c>
      <c r="J8" s="180">
        <v>0</v>
      </c>
      <c r="K8" s="180">
        <v>0</v>
      </c>
      <c r="L8" s="180">
        <v>0</v>
      </c>
      <c r="M8" s="180">
        <f>H8+J8+K8+L8</f>
        <v>0</v>
      </c>
      <c r="N8" s="180"/>
      <c r="O8" s="180"/>
      <c r="P8" s="180"/>
      <c r="Q8" s="181">
        <v>0</v>
      </c>
      <c r="R8" s="180">
        <f>SUM(N8:Q8)</f>
        <v>0</v>
      </c>
      <c r="S8" s="182">
        <f>M8-R8</f>
        <v>0</v>
      </c>
    </row>
    <row r="9" spans="1:19" ht="15.75">
      <c r="A9" s="178"/>
      <c r="B9" s="179"/>
      <c r="C9" s="180"/>
      <c r="D9" s="180"/>
      <c r="E9" s="180">
        <f>SUM(C9:D9)</f>
        <v>0</v>
      </c>
      <c r="F9" s="180"/>
      <c r="G9" s="180"/>
      <c r="H9" s="180">
        <f>SUM(F9:G9)</f>
        <v>0</v>
      </c>
      <c r="I9" s="181">
        <f>E9-H9</f>
        <v>0</v>
      </c>
      <c r="J9" s="180">
        <f>'[2]отчет 2011'!I12</f>
        <v>0</v>
      </c>
      <c r="K9" s="180">
        <f>'[2]отчет 2011'!I13</f>
        <v>0</v>
      </c>
      <c r="L9" s="180">
        <f>'[2]отчет 2011'!H13</f>
        <v>0</v>
      </c>
      <c r="M9" s="180">
        <f>H9+J9+K9+L9</f>
        <v>0</v>
      </c>
      <c r="N9" s="180"/>
      <c r="O9" s="180"/>
      <c r="P9" s="180"/>
      <c r="Q9" s="181">
        <v>0</v>
      </c>
      <c r="R9" s="180">
        <f>SUM(N9:Q9)</f>
        <v>0</v>
      </c>
      <c r="S9" s="182">
        <f>M9-R9</f>
        <v>0</v>
      </c>
    </row>
    <row r="10" spans="1:19" ht="15.75">
      <c r="A10" s="178"/>
      <c r="B10" s="179"/>
      <c r="C10" s="180"/>
      <c r="D10" s="180"/>
      <c r="E10" s="180">
        <f>SUM(C10:D10)</f>
        <v>0</v>
      </c>
      <c r="F10" s="180"/>
      <c r="G10" s="180"/>
      <c r="H10" s="180">
        <f>SUM(F10:G10)</f>
        <v>0</v>
      </c>
      <c r="I10" s="181">
        <f>E10-H10</f>
        <v>0</v>
      </c>
      <c r="J10" s="180">
        <v>0</v>
      </c>
      <c r="K10" s="180">
        <v>0</v>
      </c>
      <c r="L10" s="180">
        <v>0</v>
      </c>
      <c r="M10" s="180">
        <f>H10+J10+K10+L10</f>
        <v>0</v>
      </c>
      <c r="N10" s="180"/>
      <c r="O10" s="180"/>
      <c r="P10" s="180"/>
      <c r="Q10" s="181">
        <v>0</v>
      </c>
      <c r="R10" s="180">
        <f>SUM(N10:Q10)</f>
        <v>0</v>
      </c>
      <c r="S10" s="182">
        <f>M10-R10</f>
        <v>0</v>
      </c>
    </row>
    <row r="11" spans="1:19" ht="16.5" thickBot="1">
      <c r="A11" s="183"/>
      <c r="B11" s="184" t="s">
        <v>198</v>
      </c>
      <c r="C11" s="185">
        <f aca="true" t="shared" si="0" ref="C11:R11">SUM(C6:C10)</f>
        <v>212321.1</v>
      </c>
      <c r="D11" s="185">
        <f t="shared" si="0"/>
        <v>10101.04</v>
      </c>
      <c r="E11" s="185">
        <f t="shared" si="0"/>
        <v>222422.14</v>
      </c>
      <c r="F11" s="185">
        <f t="shared" si="0"/>
        <v>228901.65</v>
      </c>
      <c r="G11" s="185">
        <f t="shared" si="0"/>
        <v>10211.39</v>
      </c>
      <c r="H11" s="185">
        <f t="shared" si="0"/>
        <v>239113.03999999998</v>
      </c>
      <c r="I11" s="185">
        <f t="shared" si="0"/>
        <v>-16690.899999999965</v>
      </c>
      <c r="J11" s="185">
        <f t="shared" si="0"/>
        <v>4034.06</v>
      </c>
      <c r="K11" s="185">
        <f t="shared" si="0"/>
        <v>0</v>
      </c>
      <c r="L11" s="185">
        <f t="shared" si="0"/>
        <v>0</v>
      </c>
      <c r="M11" s="185">
        <f t="shared" si="0"/>
        <v>243147.09999999998</v>
      </c>
      <c r="N11" s="185">
        <f t="shared" si="0"/>
        <v>23116.02</v>
      </c>
      <c r="O11" s="185">
        <f t="shared" si="0"/>
        <v>167986.37</v>
      </c>
      <c r="P11" s="185">
        <f t="shared" si="0"/>
        <v>112730</v>
      </c>
      <c r="Q11" s="185">
        <f t="shared" si="0"/>
        <v>0</v>
      </c>
      <c r="R11" s="185">
        <f t="shared" si="0"/>
        <v>303832.39</v>
      </c>
      <c r="S11" s="186">
        <f>A6+SUM(S6:S10)</f>
        <v>-177081.31000000006</v>
      </c>
    </row>
    <row r="14" spans="15:19" ht="16.5">
      <c r="O14" s="187"/>
      <c r="P14" s="187"/>
      <c r="Q14" s="187"/>
      <c r="R14" s="187"/>
      <c r="S14" s="188"/>
    </row>
    <row r="15" spans="15:19" ht="16.5">
      <c r="O15" s="187"/>
      <c r="P15" s="187"/>
      <c r="Q15" s="187"/>
      <c r="R15" s="187"/>
      <c r="S15" s="187"/>
    </row>
    <row r="16" spans="2:9" s="189" customFormat="1" ht="18.75">
      <c r="B16" s="282" t="s">
        <v>236</v>
      </c>
      <c r="C16" s="282"/>
      <c r="D16" s="282"/>
      <c r="E16" s="282"/>
      <c r="F16" s="282" t="s">
        <v>249</v>
      </c>
      <c r="G16" s="282"/>
      <c r="H16" s="282"/>
      <c r="I16" s="282"/>
    </row>
    <row r="17" s="189" customFormat="1" ht="18.75"/>
    <row r="19" spans="2:8" ht="29.25" customHeight="1">
      <c r="B19" s="190" t="s">
        <v>250</v>
      </c>
      <c r="F19" s="282" t="s">
        <v>237</v>
      </c>
      <c r="G19" s="282"/>
      <c r="H19" s="282"/>
    </row>
    <row r="21" ht="15.75">
      <c r="A21" s="170" t="s">
        <v>235</v>
      </c>
    </row>
  </sheetData>
  <sheetProtection/>
  <mergeCells count="22">
    <mergeCell ref="I3:I4"/>
    <mergeCell ref="B16:E16"/>
    <mergeCell ref="F16:I16"/>
    <mergeCell ref="F19:H19"/>
    <mergeCell ref="J3:J4"/>
    <mergeCell ref="K3:K4"/>
    <mergeCell ref="L3:L4"/>
    <mergeCell ref="R3:R4"/>
    <mergeCell ref="N3:N4"/>
    <mergeCell ref="O3:O4"/>
    <mergeCell ref="P3:P4"/>
    <mergeCell ref="Q3:Q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2013-03-14T05:06:13Z</cp:lastPrinted>
  <dcterms:created xsi:type="dcterms:W3CDTF">2009-08-26T03:25:10Z</dcterms:created>
  <dcterms:modified xsi:type="dcterms:W3CDTF">2013-05-08T05:04:19Z</dcterms:modified>
  <cp:category/>
  <cp:version/>
  <cp:contentType/>
  <cp:contentStatus/>
</cp:coreProperties>
</file>