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66" firstSheet="8" activeTab="8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07.2012" sheetId="7" state="hidden" r:id="rId7"/>
    <sheet name="план2013" sheetId="8" state="hidden" r:id="rId8"/>
    <sheet name="отчет12(12)" sheetId="9" r:id="rId9"/>
    <sheet name="накопит отчет" sheetId="10" state="hidden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<sst xmlns="http://schemas.openxmlformats.org/spreadsheetml/2006/main" count="798" uniqueCount="258">
  <si>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</si>
  <si>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</si>
  <si>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</si>
  <si>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</si>
  <si>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</si>
  <si>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</si>
  <si>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</si>
  <si>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</si>
  <si>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</si>
  <si>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</si>
  <si>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</si>
  <si>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</si>
  <si>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</si>
  <si>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</si>
  <si>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</si>
  <si>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</si>
  <si>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</si>
  <si>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</si>
  <si>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</si>
  <si>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</si>
  <si>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</si>
  <si>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</si>
  <si>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</si>
  <si>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</si>
  <si>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</si>
  <si>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</si>
  <si>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</si>
  <si>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</si>
  <si>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</si>
  <si>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</si>
  <si>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</si>
  <si>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</si>
  <si>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</si>
  <si>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</si>
  <si>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</si>
  <si>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</si>
  <si>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</si>
  <si>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</si>
  <si>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</si>
  <si>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</si>
  <si>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</si>
  <si>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</si>
  <si>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</si>
  <si>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</si>
  <si>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</si>
  <si>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</si>
  <si>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</si>
  <si>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</si>
  <si>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</si>
  <si>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</si>
  <si>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</si>
  <si>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</si>
  <si>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</si>
  <si>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</si>
  <si>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</si>
  <si>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</si>
  <si>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</si>
  <si>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</si>
  <si>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</si>
  <si>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</si>
  <si>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</si>
  <si>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</si>
  <si>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</si>
  <si>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</si>
  <si>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</si>
  <si>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</si>
  <si>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</si>
  <si>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</si>
  <si>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</si>
  <si>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</si>
  <si>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</si>
  <si>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</si>
  <si>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</si>
  <si>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</si>
  <si>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</si>
  <si>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</si>
  <si>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</si>
  <si>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</si>
  <si>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</si>
  <si>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</si>
  <si>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</si>
  <si>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</si>
  <si>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</si>
  <si>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ОТЧЕТ
за  2009 г. о выполненнии условий  договора управления МКД
№215/6 от 28.03.2008 г., заключенного между ООО "ОЖКС №6" 
и собственниками многоквартирного дома
по адресу: ул. М. Жукова, 7</t>
  </si>
  <si>
    <t xml:space="preserve">                    Представитель собственников  - старший по дому Шамановский Е.П.,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</si>
  <si>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М.Жукова, 7</t>
  </si>
  <si>
    <t>Старший по дому                                                             Е.П. Шамановский</t>
  </si>
  <si>
    <t>нет</t>
  </si>
  <si>
    <t>Претензий по управлению нет (да)</t>
  </si>
  <si>
    <t>ОТЧЕТ
о выполненных работах в 2008 году по договору управления МКД 
№215 от 28.03.2008 г., заключенного между ООО "ОЖКС №6" и собственниками многоквартирного дома
по адресу:  ул. м. Жукова, 7.</t>
  </si>
  <si>
    <t xml:space="preserve">            Представитель собственников  - старший по дому Шамановский Е.П.,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</si>
  <si>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</si>
  <si>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</si>
  <si>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</si>
  <si>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</si>
  <si>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</si>
  <si>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</si>
  <si>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</si>
  <si>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</si>
  <si>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</si>
  <si>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</si>
  <si>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</si>
  <si>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</si>
  <si>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</si>
  <si>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</si>
  <si>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</si>
  <si>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</si>
  <si>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</si>
  <si>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</si>
  <si>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</si>
  <si>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</si>
  <si>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</si>
  <si>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</si>
  <si>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</si>
  <si>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</si>
  <si>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</si>
  <si>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</si>
  <si>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</si>
  <si>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</si>
  <si>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</si>
  <si>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</si>
  <si>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</si>
  <si>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</si>
  <si>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</si>
  <si>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</si>
  <si>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</si>
  <si>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</si>
  <si>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</si>
  <si>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</si>
  <si>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</si>
  <si>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</si>
  <si>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</si>
  <si>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</si>
  <si>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</si>
  <si>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</si>
  <si>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</si>
  <si>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</si>
  <si>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</si>
  <si>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</si>
  <si>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</si>
  <si>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</si>
  <si>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</si>
  <si>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</si>
  <si>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</si>
  <si>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</si>
  <si>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</si>
  <si>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</si>
  <si>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</si>
  <si>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</si>
  <si>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</si>
  <si>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</si>
  <si>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</si>
  <si>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</si>
  <si>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</si>
  <si>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</si>
  <si>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</si>
  <si>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</si>
  <si>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</si>
  <si>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</si>
  <si>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</si>
  <si>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</si>
  <si>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</si>
  <si>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</si>
  <si>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</si>
  <si>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</si>
  <si>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</si>
  <si>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</si>
  <si>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</si>
  <si>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</si>
  <si>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</si>
  <si>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</si>
  <si>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</si>
  <si>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</si>
  <si>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</si>
  <si>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</si>
  <si>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</si>
  <si>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</si>
  <si>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</si>
  <si>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</si>
  <si>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</si>
  <si>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</si>
  <si>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</si>
  <si>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</si>
  <si>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</si>
  <si>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</si>
  <si>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</si>
  <si>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</si>
  <si>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</si>
  <si>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</si>
  <si>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</si>
  <si>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</si>
  <si>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</si>
  <si>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</si>
  <si>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</si>
  <si>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</si>
  <si>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№215/6 от 28.03.2008 г., заключенного между ООО "ОЖКС №6" 
и собственниками многоквартирного дома
по адресу: ул. М. Жукова, 7</t>
  </si>
  <si>
    <t xml:space="preserve">                    Представитель собственников  - старший по дому Шамановский Е.П.,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</si>
  <si>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Смета 
доходов и расходов на  2011 г. согласно договора управления МКД 
№215/6 от 28.03.2008 г., заключенного между ООО "ОЖКС №6" 
и собственниками многоквартирного дома
по адресу: ул. М. Жукова, 7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</si>
  <si>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 контейнерных площадок</t>
    </r>
  </si>
  <si>
    <t>Итого</t>
  </si>
  <si>
    <t>результат
 за год
(+эконом., 
-перерасх.)</t>
  </si>
  <si>
    <t>Сбор, вывоз  бытового мусора, содержание  контейнерных площадок</t>
  </si>
  <si>
    <t>ОТЧЕТ
за  2011 г. о выполненнии условий  договора управления МКД 
№215/6 от 28.03.2008 г., заключенного между ООО "ОЖКС №6" 
и собственниками многоквартирного дома
по адресу: ул. М. Жукова, 7</t>
  </si>
  <si>
    <t xml:space="preserve">                    Представитель собственников  - старший по дому 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</si>
  <si>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</si>
  <si>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________________________</t>
  </si>
  <si>
    <t>Смета 
доходов и расходов на  2012 г. согласно договора управления МКД 
№215/6 от 28.03.2008 г., заключенного между ООО "ОЖКС №6" 
и собственниками многоквартирного дома
по адресу: ул. М. Жукова, 7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</si>
  <si>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контейнерных площадок</t>
    </r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</si>
  <si>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</si>
  <si>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</si>
  <si>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</si>
  <si>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</si>
  <si>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</si>
  <si>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5=гр.4*Sдома*1мес.</t>
  </si>
  <si>
    <t>Тариф на 
1 кв.м. декабрь 2012г.
руб.</t>
  </si>
  <si>
    <t>подметание асфальта - 1 раз/неделю, подбор мусора-ежедневно</t>
  </si>
  <si>
    <t>по плану работ</t>
  </si>
  <si>
    <t>Представитель собственников</t>
  </si>
  <si>
    <t>__________________________</t>
  </si>
  <si>
    <t>Тариф с 1 декабря 2012 г. - 15,36 руб., капитальный ремонт - 0,80 руб.</t>
  </si>
  <si>
    <t>Стоимость работ  за декабрь 2012г.
руб.</t>
  </si>
  <si>
    <t>1.1.</t>
  </si>
  <si>
    <t>1.2.</t>
  </si>
  <si>
    <t>1.3.</t>
  </si>
  <si>
    <t xml:space="preserve">               Директор ООО "ОЖКС № 6"</t>
  </si>
  <si>
    <t xml:space="preserve">              ____________________Л.И. Никашина</t>
  </si>
  <si>
    <t xml:space="preserve">                  * в случае уточнения площадей возможно изменение стоимости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</si>
  <si>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</si>
  <si>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</si>
  <si>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</si>
  <si>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</si>
  <si>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</si>
  <si>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</si>
  <si>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</si>
  <si>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</si>
  <si>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</si>
  <si>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</si>
  <si>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</si>
  <si>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</si>
  <si>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38/6 от 01.12.2012 г., 
заключенного между ООО "ОЖКС № 6"   
и собственниками многоквартирного дома
по адресу:  ул. М.Жукова, 7</t>
  </si>
  <si>
    <t xml:space="preserve">                     Совет МКД в лице____________________________,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01.12.12г. по 31.12.12г. </t>
  </si>
  <si>
    <t>кол-во мес по нов. дог-ру</t>
  </si>
  <si>
    <t xml:space="preserve"> - прочие доходы </t>
  </si>
  <si>
    <t>Сбор, вывоз  бытового мусора, содержание контейнерных площадок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</si>
  <si>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</si>
  <si>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</si>
  <si>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</si>
  <si>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</si>
  <si>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Тариф 01.12.12г-31.12.12г.</t>
  </si>
  <si>
    <t xml:space="preserve">Финансовый результат с 01.12.12 - 31.12.12г. (+ экономия,- перерасход)                                                      </t>
  </si>
  <si>
    <t>Сумма 
с 01.12.12г.-31.12.12г., руб.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</si>
  <si>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</si>
  <si>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</si>
  <si>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</si>
  <si>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</si>
  <si>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с 01.12.12г. по 31.12.12г. о выполненнии условий  договора на оказания услуг МКД 
№ 38/6 от 01.12.2012 г., заключенного между ООО "ОЖКС №6" 
и собственниками многоквартирного дома
по адресу: ул. М. Жукова, 7</t>
  </si>
  <si>
    <t>ОТЧЕТ
по  договору на оказания услуг МКД 
№ 38/6 от 01.12.2012., заключенного между ООО "ОЖКС №6" и собственниками многоквартирного дома
по адресу:  ул. М.Жукова, 7</t>
  </si>
  <si>
    <t>с 01.12.12г.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</si>
</sst>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71" fontId="2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justify" wrapText="1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50390625" style="0" customWidth="1"/>
    <col min="5" max="5" width="12.375" style="0" customWidth="1"/>
  </cols>
  <sheetData>
    <row r="1" spans="1:4" ht="104.25" customHeight="1">
      <c r="A1" s="198" t="s">
        <v>89</v>
      </c>
      <c r="B1" s="199"/>
      <c r="C1" s="199"/>
      <c r="D1" s="199"/>
    </row>
    <row r="2" spans="1:5" ht="80.25" customHeight="1">
      <c r="A2" s="200" t="s">
        <v>90</v>
      </c>
      <c r="B2" s="201"/>
      <c r="C2" s="201"/>
      <c r="D2" s="201"/>
      <c r="E2" t="s">
        <v>80</v>
      </c>
    </row>
    <row r="3" spans="1:5" ht="33" customHeight="1">
      <c r="A3" s="23" t="s">
        <v>91</v>
      </c>
      <c r="B3" s="23" t="s">
        <v>92</v>
      </c>
      <c r="C3" s="11" t="s">
        <v>93</v>
      </c>
      <c r="D3" s="51" t="s">
        <v>94</v>
      </c>
      <c r="E3" s="52" t="s">
        <v>95</v>
      </c>
    </row>
    <row r="4" spans="1:5" ht="18.75" customHeight="1">
      <c r="A4" s="53" t="s">
        <v>96</v>
      </c>
      <c r="B4" s="54" t="s">
        <v>97</v>
      </c>
      <c r="C4" s="11" t="s">
        <v>98</v>
      </c>
      <c r="D4" s="55">
        <v>9</v>
      </c>
      <c r="E4" s="55">
        <v>9</v>
      </c>
    </row>
    <row r="5" spans="1:5" ht="15.75">
      <c r="A5" s="56" t="s">
        <v>99</v>
      </c>
      <c r="B5" s="57" t="s">
        <v>100</v>
      </c>
      <c r="C5" s="58" t="s">
        <v>101</v>
      </c>
      <c r="D5" s="59">
        <v>7333.9</v>
      </c>
      <c r="E5" s="59">
        <v>7333.9</v>
      </c>
    </row>
    <row r="6" spans="1:5" ht="14.25" customHeight="1">
      <c r="A6" s="56" t="s">
        <v>102</v>
      </c>
      <c r="B6" s="57" t="s">
        <v>103</v>
      </c>
      <c r="C6" s="58" t="s">
        <v>98</v>
      </c>
      <c r="D6" s="60">
        <v>144</v>
      </c>
      <c r="E6" s="60">
        <v>144</v>
      </c>
    </row>
    <row r="7" spans="1:5" ht="16.5" customHeight="1">
      <c r="A7" s="56" t="s">
        <v>104</v>
      </c>
      <c r="B7" s="57" t="s">
        <v>105</v>
      </c>
      <c r="C7" s="50"/>
      <c r="D7" s="59"/>
      <c r="E7" s="59"/>
    </row>
    <row r="8" spans="1:5" ht="15.75">
      <c r="A8" s="61" t="s">
        <v>106</v>
      </c>
      <c r="B8" s="57" t="s">
        <v>107</v>
      </c>
      <c r="C8" s="50"/>
      <c r="D8" s="59"/>
      <c r="E8" s="59"/>
    </row>
    <row r="9" spans="1:5" ht="17.25" customHeight="1">
      <c r="A9" s="62"/>
      <c r="B9" s="35" t="s">
        <v>108</v>
      </c>
      <c r="C9" s="50" t="s">
        <v>109</v>
      </c>
      <c r="D9" s="59">
        <v>684438.71</v>
      </c>
      <c r="E9" s="59">
        <v>684438.71</v>
      </c>
    </row>
    <row r="10" spans="1:5" ht="16.5" customHeight="1">
      <c r="A10" s="62"/>
      <c r="B10" s="35" t="s">
        <v>110</v>
      </c>
      <c r="C10" s="50" t="s">
        <v>109</v>
      </c>
      <c r="D10" s="59">
        <v>652784.73</v>
      </c>
      <c r="E10" s="59">
        <v>652784.73</v>
      </c>
    </row>
    <row r="11" spans="1:5" ht="15.75">
      <c r="A11" s="62"/>
      <c r="B11" s="57" t="s">
        <v>111</v>
      </c>
      <c r="C11" s="58" t="s">
        <v>109</v>
      </c>
      <c r="D11" s="63">
        <f>D9-D10</f>
        <v>31653.97999999998</v>
      </c>
      <c r="E11" s="63">
        <f>E9-E10</f>
        <v>31653.97999999998</v>
      </c>
    </row>
    <row r="12" spans="1:5" ht="18" customHeight="1">
      <c r="A12" s="61" t="s">
        <v>112</v>
      </c>
      <c r="B12" s="57" t="s">
        <v>113</v>
      </c>
      <c r="C12" s="50"/>
      <c r="D12" s="59"/>
      <c r="E12" s="59"/>
    </row>
    <row r="13" spans="1:5" ht="15.75">
      <c r="A13" s="62"/>
      <c r="B13" s="35" t="s">
        <v>108</v>
      </c>
      <c r="C13" s="50" t="s">
        <v>109</v>
      </c>
      <c r="D13" s="59">
        <v>30982.25</v>
      </c>
      <c r="E13" s="59"/>
    </row>
    <row r="14" spans="1:5" ht="15.75" customHeight="1">
      <c r="A14" s="62"/>
      <c r="B14" s="35" t="s">
        <v>110</v>
      </c>
      <c r="C14" s="50" t="s">
        <v>109</v>
      </c>
      <c r="D14" s="59">
        <v>29623.33</v>
      </c>
      <c r="E14" s="59"/>
    </row>
    <row r="15" spans="1:5" ht="15.75" customHeight="1">
      <c r="A15" s="62"/>
      <c r="B15" s="57" t="s">
        <v>111</v>
      </c>
      <c r="C15" s="58" t="s">
        <v>109</v>
      </c>
      <c r="D15" s="63">
        <f>D13-D14</f>
        <v>1358.9199999999983</v>
      </c>
      <c r="E15" s="63">
        <f>E13-E14</f>
        <v>0</v>
      </c>
    </row>
    <row r="16" spans="1:5" ht="15.75" customHeight="1">
      <c r="A16" s="61" t="s">
        <v>114</v>
      </c>
      <c r="B16" s="57" t="s">
        <v>115</v>
      </c>
      <c r="C16" s="50"/>
      <c r="D16" s="59"/>
      <c r="E16" s="59"/>
    </row>
    <row r="17" spans="1:5" ht="15.75" customHeight="1">
      <c r="A17" s="62"/>
      <c r="B17" s="35" t="s">
        <v>108</v>
      </c>
      <c r="C17" s="50" t="s">
        <v>109</v>
      </c>
      <c r="D17" s="59">
        <v>16920.05</v>
      </c>
      <c r="E17" s="59">
        <v>16920.05</v>
      </c>
    </row>
    <row r="18" spans="1:5" ht="15.75" customHeight="1">
      <c r="A18" s="62"/>
      <c r="B18" s="35" t="s">
        <v>110</v>
      </c>
      <c r="C18" s="50" t="s">
        <v>109</v>
      </c>
      <c r="D18" s="59">
        <v>15855.7</v>
      </c>
      <c r="E18" s="59">
        <v>15855.7</v>
      </c>
    </row>
    <row r="19" spans="1:5" ht="15.75" customHeight="1">
      <c r="A19" s="62"/>
      <c r="B19" s="57" t="s">
        <v>111</v>
      </c>
      <c r="C19" s="58" t="s">
        <v>109</v>
      </c>
      <c r="D19" s="63">
        <f>D17-D18</f>
        <v>1064.3499999999985</v>
      </c>
      <c r="E19" s="63">
        <f>E17-E18</f>
        <v>1064.3499999999985</v>
      </c>
    </row>
    <row r="20" spans="1:5" ht="15" customHeight="1">
      <c r="A20" s="62"/>
      <c r="B20" s="57" t="s">
        <v>116</v>
      </c>
      <c r="C20" s="50" t="s">
        <v>109</v>
      </c>
      <c r="D20" s="63">
        <f>D9+D13+D17</f>
        <v>732341.01</v>
      </c>
      <c r="E20" s="63">
        <f>E9+E13+E17</f>
        <v>701358.76</v>
      </c>
    </row>
    <row r="21" spans="1:5" ht="15.75">
      <c r="A21" s="62"/>
      <c r="B21" s="57" t="s">
        <v>117</v>
      </c>
      <c r="C21" s="50" t="s">
        <v>109</v>
      </c>
      <c r="D21" s="63">
        <f>D11+D15+D19</f>
        <v>34077.24999999998</v>
      </c>
      <c r="E21" s="63">
        <f>E11+E15+E19</f>
        <v>32718.32999999998</v>
      </c>
    </row>
    <row r="22" spans="1:5" ht="15.75" customHeight="1">
      <c r="A22" s="56" t="s">
        <v>118</v>
      </c>
      <c r="B22" s="64" t="s">
        <v>119</v>
      </c>
      <c r="C22" s="50"/>
      <c r="D22" s="59"/>
      <c r="E22" s="59"/>
    </row>
    <row r="23" spans="1:5" ht="94.5">
      <c r="A23" s="65" t="s">
        <v>120</v>
      </c>
      <c r="B23" s="66" t="s">
        <v>121</v>
      </c>
      <c r="C23" s="58" t="s">
        <v>109</v>
      </c>
      <c r="D23" s="63">
        <f>D9*0.11</f>
        <v>75288.25809999999</v>
      </c>
      <c r="E23" s="63">
        <f>E9*0.11</f>
        <v>75288.25809999999</v>
      </c>
    </row>
    <row r="24" spans="1:6" ht="94.5" customHeight="1">
      <c r="A24" s="65" t="s">
        <v>122</v>
      </c>
      <c r="B24" s="66" t="s">
        <v>123</v>
      </c>
      <c r="C24" s="58" t="s">
        <v>109</v>
      </c>
      <c r="D24" s="63">
        <f>D9*0.7</f>
        <v>479107.09699999995</v>
      </c>
      <c r="E24" s="63">
        <f>E9*0.7</f>
        <v>479107.09699999995</v>
      </c>
      <c r="F24" t="s">
        <v>80</v>
      </c>
    </row>
    <row r="25" spans="1:5" ht="19.5" customHeight="1">
      <c r="A25" s="65" t="s">
        <v>124</v>
      </c>
      <c r="B25" s="57" t="s">
        <v>125</v>
      </c>
      <c r="C25" s="58" t="s">
        <v>109</v>
      </c>
      <c r="D25" s="67">
        <v>266010</v>
      </c>
      <c r="E25" s="67">
        <v>266010</v>
      </c>
    </row>
    <row r="26" spans="1:5" ht="15.75" hidden="1">
      <c r="A26" s="68" t="s">
        <v>126</v>
      </c>
      <c r="B26" s="57" t="s">
        <v>127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128</v>
      </c>
      <c r="C27" s="58" t="s">
        <v>109</v>
      </c>
      <c r="D27" s="63">
        <f>D23+D24+D25+D26</f>
        <v>820405.3550999999</v>
      </c>
      <c r="E27" s="63">
        <f>E23+E24+E25+E26</f>
        <v>820405.3550999999</v>
      </c>
    </row>
    <row r="28" spans="1:5" ht="17.25" customHeight="1">
      <c r="A28" s="61" t="s">
        <v>61</v>
      </c>
      <c r="B28" s="57" t="s">
        <v>129</v>
      </c>
      <c r="C28" s="50" t="s">
        <v>109</v>
      </c>
      <c r="D28" s="59">
        <f>D20-D27</f>
        <v>-88064.34509999992</v>
      </c>
      <c r="E28" s="59">
        <f>E20-E27</f>
        <v>-119046.59509999992</v>
      </c>
    </row>
    <row r="29" spans="1:5" ht="31.5">
      <c r="A29" s="65" t="s">
        <v>130</v>
      </c>
      <c r="B29" s="66" t="s">
        <v>131</v>
      </c>
      <c r="C29" s="50" t="s">
        <v>109</v>
      </c>
      <c r="D29" s="59">
        <f>D28-D21</f>
        <v>-122141.59509999989</v>
      </c>
      <c r="E29" s="59">
        <f>E28-E21</f>
        <v>-151764.9250999999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202" t="s">
        <v>86</v>
      </c>
      <c r="C34" s="202"/>
      <c r="D34" s="44"/>
    </row>
    <row r="35" spans="2:4" ht="17.25" customHeight="1">
      <c r="B35" s="203" t="s">
        <v>132</v>
      </c>
      <c r="C35" s="203"/>
      <c r="D35" s="203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B1">
      <selection activeCell="S6" sqref="S6"/>
    </sheetView>
  </sheetViews>
  <sheetFormatPr defaultColWidth="9.00390625" defaultRowHeight="15.75"/>
  <cols>
    <col min="1" max="1" width="12.125" style="177" bestFit="1" customWidth="1"/>
    <col min="2" max="2" width="10.75390625" style="177" customWidth="1"/>
    <col min="3" max="3" width="12.625" style="177" bestFit="1" customWidth="1"/>
    <col min="4" max="4" width="9.875" style="177" bestFit="1" customWidth="1"/>
    <col min="5" max="6" width="12.625" style="177" bestFit="1" customWidth="1"/>
    <col min="7" max="7" width="9.875" style="177" bestFit="1" customWidth="1"/>
    <col min="8" max="8" width="12.625" style="177" bestFit="1" customWidth="1"/>
    <col min="9" max="9" width="11.625" style="177" customWidth="1"/>
    <col min="10" max="10" width="7.125" style="177" bestFit="1" customWidth="1"/>
    <col min="11" max="11" width="9.00390625" style="177" customWidth="1"/>
    <col min="12" max="12" width="11.875" style="177" bestFit="1" customWidth="1"/>
    <col min="13" max="13" width="12.625" style="177" bestFit="1" customWidth="1"/>
    <col min="14" max="14" width="9.875" style="177" bestFit="1" customWidth="1"/>
    <col min="15" max="15" width="11.375" style="177" bestFit="1" customWidth="1"/>
    <col min="16" max="16" width="11.00390625" style="177" bestFit="1" customWidth="1"/>
    <col min="17" max="17" width="8.50390625" style="177" bestFit="1" customWidth="1"/>
    <col min="18" max="18" width="12.625" style="177" bestFit="1" customWidth="1"/>
    <col min="19" max="19" width="12.875" style="177" customWidth="1"/>
    <col min="20" max="16384" width="9.00390625" style="177" customWidth="1"/>
  </cols>
  <sheetData>
    <row r="1" spans="1:19" ht="109.5" customHeight="1" thickBot="1">
      <c r="A1" s="280" t="s">
        <v>256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</row>
    <row r="2" spans="1:19" ht="15.75" customHeight="1">
      <c r="A2" s="281" t="s">
        <v>165</v>
      </c>
      <c r="B2" s="283" t="s">
        <v>166</v>
      </c>
      <c r="C2" s="283" t="s">
        <v>167</v>
      </c>
      <c r="D2" s="283"/>
      <c r="E2" s="283"/>
      <c r="F2" s="283"/>
      <c r="G2" s="283"/>
      <c r="H2" s="283"/>
      <c r="I2" s="283"/>
      <c r="J2" s="284" t="s">
        <v>168</v>
      </c>
      <c r="K2" s="284"/>
      <c r="L2" s="284"/>
      <c r="M2" s="285" t="s">
        <v>169</v>
      </c>
      <c r="N2" s="283" t="s">
        <v>170</v>
      </c>
      <c r="O2" s="283"/>
      <c r="P2" s="283"/>
      <c r="Q2" s="283"/>
      <c r="R2" s="283"/>
      <c r="S2" s="287" t="s">
        <v>200</v>
      </c>
    </row>
    <row r="3" spans="1:19" ht="15.75">
      <c r="A3" s="282"/>
      <c r="B3" s="279"/>
      <c r="C3" s="289" t="s">
        <v>171</v>
      </c>
      <c r="D3" s="290"/>
      <c r="E3" s="291"/>
      <c r="F3" s="289" t="s">
        <v>172</v>
      </c>
      <c r="G3" s="290"/>
      <c r="H3" s="291"/>
      <c r="I3" s="274" t="s">
        <v>173</v>
      </c>
      <c r="J3" s="275" t="s">
        <v>174</v>
      </c>
      <c r="K3" s="277" t="s">
        <v>175</v>
      </c>
      <c r="L3" s="275" t="s">
        <v>176</v>
      </c>
      <c r="M3" s="286"/>
      <c r="N3" s="274" t="s">
        <v>177</v>
      </c>
      <c r="O3" s="279" t="s">
        <v>178</v>
      </c>
      <c r="P3" s="279" t="s">
        <v>179</v>
      </c>
      <c r="Q3" s="279" t="s">
        <v>180</v>
      </c>
      <c r="R3" s="279" t="s">
        <v>181</v>
      </c>
      <c r="S3" s="288"/>
    </row>
    <row r="4" spans="1:19" ht="47.25" customHeight="1">
      <c r="A4" s="282"/>
      <c r="B4" s="279"/>
      <c r="C4" s="180" t="s">
        <v>182</v>
      </c>
      <c r="D4" s="179" t="s">
        <v>180</v>
      </c>
      <c r="E4" s="179" t="s">
        <v>181</v>
      </c>
      <c r="F4" s="180" t="s">
        <v>182</v>
      </c>
      <c r="G4" s="179" t="s">
        <v>180</v>
      </c>
      <c r="H4" s="179" t="s">
        <v>181</v>
      </c>
      <c r="I4" s="274"/>
      <c r="J4" s="276"/>
      <c r="K4" s="278"/>
      <c r="L4" s="276"/>
      <c r="M4" s="278"/>
      <c r="N4" s="279"/>
      <c r="O4" s="279"/>
      <c r="P4" s="279"/>
      <c r="Q4" s="279"/>
      <c r="R4" s="279"/>
      <c r="S4" s="288"/>
    </row>
    <row r="5" spans="1:19" ht="31.5">
      <c r="A5" s="178">
        <v>1</v>
      </c>
      <c r="B5" s="179">
        <v>2</v>
      </c>
      <c r="C5" s="180">
        <v>3</v>
      </c>
      <c r="D5" s="179">
        <v>4</v>
      </c>
      <c r="E5" s="179" t="s">
        <v>183</v>
      </c>
      <c r="F5" s="180">
        <v>6</v>
      </c>
      <c r="G5" s="179">
        <v>7</v>
      </c>
      <c r="H5" s="179" t="s">
        <v>184</v>
      </c>
      <c r="I5" s="180" t="s">
        <v>185</v>
      </c>
      <c r="J5" s="179">
        <v>10</v>
      </c>
      <c r="K5" s="179">
        <v>11</v>
      </c>
      <c r="L5" s="180">
        <v>12</v>
      </c>
      <c r="M5" s="180" t="s">
        <v>186</v>
      </c>
      <c r="N5" s="179">
        <v>14</v>
      </c>
      <c r="O5" s="180">
        <v>15</v>
      </c>
      <c r="P5" s="179">
        <v>16</v>
      </c>
      <c r="Q5" s="179">
        <v>17</v>
      </c>
      <c r="R5" s="180" t="s">
        <v>187</v>
      </c>
      <c r="S5" s="181" t="s">
        <v>188</v>
      </c>
    </row>
    <row r="6" spans="1:19" ht="15.75">
      <c r="A6" s="182">
        <v>-663885.54</v>
      </c>
      <c r="B6" s="183" t="s">
        <v>257</v>
      </c>
      <c r="C6" s="184">
        <v>84373.72</v>
      </c>
      <c r="D6" s="184">
        <v>4421.84</v>
      </c>
      <c r="E6" s="184">
        <f>C6+D6</f>
        <v>88795.56</v>
      </c>
      <c r="F6" s="184">
        <f>'отчет12(12)'!H10</f>
        <v>125956.25</v>
      </c>
      <c r="G6" s="184">
        <f>'отчет12(12)'!H11</f>
        <v>5698.48</v>
      </c>
      <c r="H6" s="184">
        <f>SUM(F6:G6)</f>
        <v>131654.73</v>
      </c>
      <c r="I6" s="185">
        <f>E6-H6</f>
        <v>-42859.17000000001</v>
      </c>
      <c r="J6" s="184">
        <v>0</v>
      </c>
      <c r="K6" s="184">
        <v>0</v>
      </c>
      <c r="L6" s="184">
        <v>0</v>
      </c>
      <c r="M6" s="184">
        <f>H6+J6+K6+L6</f>
        <v>131654.73</v>
      </c>
      <c r="N6" s="184">
        <f>'отчет12(12)'!J29</f>
        <v>11423.1</v>
      </c>
      <c r="O6" s="184">
        <f>'отчет12(12)'!J31-'отчет12(12)'!J29</f>
        <v>82618.03000000001</v>
      </c>
      <c r="P6" s="184">
        <f>'отчет12(12)'!H35</f>
        <v>33814</v>
      </c>
      <c r="Q6" s="185">
        <f>'отчет12(12)'!H37</f>
        <v>0</v>
      </c>
      <c r="R6" s="184">
        <f>SUM(N6:Q6)</f>
        <v>127855.13000000002</v>
      </c>
      <c r="S6" s="186">
        <f>M6-R6</f>
        <v>3799.5999999999913</v>
      </c>
    </row>
    <row r="7" spans="1:19" ht="15.75">
      <c r="A7" s="182"/>
      <c r="B7" s="183"/>
      <c r="C7" s="184"/>
      <c r="D7" s="184"/>
      <c r="E7" s="184">
        <f>SUM(C7:D7)</f>
        <v>0</v>
      </c>
      <c r="F7" s="184"/>
      <c r="G7" s="184"/>
      <c r="H7" s="184">
        <f>SUM(F7:G7)</f>
        <v>0</v>
      </c>
      <c r="I7" s="185">
        <f>E7-H7</f>
        <v>0</v>
      </c>
      <c r="J7" s="184">
        <v>0</v>
      </c>
      <c r="K7" s="184">
        <v>0</v>
      </c>
      <c r="L7" s="184">
        <v>0</v>
      </c>
      <c r="M7" s="184">
        <f>H7+J7+K7+L7</f>
        <v>0</v>
      </c>
      <c r="N7" s="184"/>
      <c r="O7" s="184"/>
      <c r="P7" s="184"/>
      <c r="Q7" s="185">
        <v>0</v>
      </c>
      <c r="R7" s="184">
        <f>SUM(N7:Q7)</f>
        <v>0</v>
      </c>
      <c r="S7" s="186">
        <f>M7-R7</f>
        <v>0</v>
      </c>
    </row>
    <row r="8" spans="1:19" ht="15.75">
      <c r="A8" s="182"/>
      <c r="B8" s="183"/>
      <c r="C8" s="184"/>
      <c r="D8" s="184"/>
      <c r="E8" s="184">
        <f>SUM(C8:D8)</f>
        <v>0</v>
      </c>
      <c r="F8" s="184"/>
      <c r="G8" s="184"/>
      <c r="H8" s="184">
        <f>SUM(F8:G8)</f>
        <v>0</v>
      </c>
      <c r="I8" s="185">
        <f>E8-H8</f>
        <v>0</v>
      </c>
      <c r="J8" s="184">
        <v>0</v>
      </c>
      <c r="K8" s="184">
        <v>0</v>
      </c>
      <c r="L8" s="184">
        <v>0</v>
      </c>
      <c r="M8" s="184">
        <f>H8+J8+K8+L8</f>
        <v>0</v>
      </c>
      <c r="N8" s="184"/>
      <c r="O8" s="184"/>
      <c r="P8" s="184"/>
      <c r="Q8" s="185">
        <v>0</v>
      </c>
      <c r="R8" s="184">
        <f>SUM(N8:Q8)</f>
        <v>0</v>
      </c>
      <c r="S8" s="186">
        <f>M8-R8</f>
        <v>0</v>
      </c>
    </row>
    <row r="9" spans="1:19" ht="15.75">
      <c r="A9" s="182"/>
      <c r="B9" s="183"/>
      <c r="C9" s="184"/>
      <c r="D9" s="184"/>
      <c r="E9" s="184">
        <f>SUM(C9:D9)</f>
        <v>0</v>
      </c>
      <c r="F9" s="184"/>
      <c r="G9" s="184"/>
      <c r="H9" s="184">
        <f>SUM(F9:G9)</f>
        <v>0</v>
      </c>
      <c r="I9" s="185">
        <f>E9-H9</f>
        <v>0</v>
      </c>
      <c r="J9" s="184">
        <f>'[1]отчет 2011'!I12</f>
        <v>0</v>
      </c>
      <c r="K9" s="184">
        <f>'[1]отчет 2011'!I13</f>
        <v>0</v>
      </c>
      <c r="L9" s="184">
        <f>'[1]отчет 2011'!H13</f>
        <v>0</v>
      </c>
      <c r="M9" s="184">
        <f>H9+J9+K9+L9</f>
        <v>0</v>
      </c>
      <c r="N9" s="184"/>
      <c r="O9" s="184"/>
      <c r="P9" s="184"/>
      <c r="Q9" s="185">
        <v>0</v>
      </c>
      <c r="R9" s="184">
        <f>SUM(N9:Q9)</f>
        <v>0</v>
      </c>
      <c r="S9" s="186">
        <f>M9-R9</f>
        <v>0</v>
      </c>
    </row>
    <row r="10" spans="1:19" ht="15.75">
      <c r="A10" s="182"/>
      <c r="B10" s="183"/>
      <c r="C10" s="184"/>
      <c r="D10" s="184"/>
      <c r="E10" s="184">
        <f>SUM(C10:D10)</f>
        <v>0</v>
      </c>
      <c r="F10" s="184"/>
      <c r="G10" s="184"/>
      <c r="H10" s="184">
        <f>SUM(F10:G10)</f>
        <v>0</v>
      </c>
      <c r="I10" s="185">
        <f>E10-H10</f>
        <v>0</v>
      </c>
      <c r="J10" s="184">
        <v>0</v>
      </c>
      <c r="K10" s="184">
        <v>0</v>
      </c>
      <c r="L10" s="184">
        <v>0</v>
      </c>
      <c r="M10" s="184">
        <f>H10+J10+K10+L10</f>
        <v>0</v>
      </c>
      <c r="N10" s="184"/>
      <c r="O10" s="184"/>
      <c r="P10" s="184"/>
      <c r="Q10" s="185">
        <v>0</v>
      </c>
      <c r="R10" s="184">
        <f>SUM(N10:Q10)</f>
        <v>0</v>
      </c>
      <c r="S10" s="186">
        <f>M10-R10</f>
        <v>0</v>
      </c>
    </row>
    <row r="11" spans="1:19" ht="16.5" thickBot="1">
      <c r="A11" s="187"/>
      <c r="B11" s="188" t="s">
        <v>199</v>
      </c>
      <c r="C11" s="189">
        <f aca="true" t="shared" si="0" ref="C11:R11">SUM(C6:C10)</f>
        <v>84373.72</v>
      </c>
      <c r="D11" s="189">
        <f t="shared" si="0"/>
        <v>4421.84</v>
      </c>
      <c r="E11" s="189">
        <f t="shared" si="0"/>
        <v>88795.56</v>
      </c>
      <c r="F11" s="189">
        <f t="shared" si="0"/>
        <v>125956.25</v>
      </c>
      <c r="G11" s="189">
        <f t="shared" si="0"/>
        <v>5698.48</v>
      </c>
      <c r="H11" s="189">
        <f t="shared" si="0"/>
        <v>131654.73</v>
      </c>
      <c r="I11" s="189">
        <f t="shared" si="0"/>
        <v>-42859.17000000001</v>
      </c>
      <c r="J11" s="189">
        <f t="shared" si="0"/>
        <v>0</v>
      </c>
      <c r="K11" s="189">
        <f t="shared" si="0"/>
        <v>0</v>
      </c>
      <c r="L11" s="189">
        <f t="shared" si="0"/>
        <v>0</v>
      </c>
      <c r="M11" s="189">
        <f t="shared" si="0"/>
        <v>131654.73</v>
      </c>
      <c r="N11" s="189">
        <f t="shared" si="0"/>
        <v>11423.1</v>
      </c>
      <c r="O11" s="189">
        <f t="shared" si="0"/>
        <v>82618.03000000001</v>
      </c>
      <c r="P11" s="189">
        <f t="shared" si="0"/>
        <v>33814</v>
      </c>
      <c r="Q11" s="189">
        <f t="shared" si="0"/>
        <v>0</v>
      </c>
      <c r="R11" s="189">
        <f t="shared" si="0"/>
        <v>127855.13000000002</v>
      </c>
      <c r="S11" s="190">
        <f>A6+SUM(S6:S10)</f>
        <v>-660085.9400000001</v>
      </c>
    </row>
    <row r="14" spans="15:19" ht="16.5">
      <c r="O14" s="191"/>
      <c r="P14" s="191"/>
      <c r="Q14" s="191"/>
      <c r="R14" s="191"/>
      <c r="S14" s="192"/>
    </row>
    <row r="15" spans="15:19" ht="16.5">
      <c r="O15" s="191"/>
      <c r="P15" s="191"/>
      <c r="Q15" s="191"/>
      <c r="R15" s="191"/>
      <c r="S15" s="191"/>
    </row>
    <row r="16" spans="2:9" s="193" customFormat="1" ht="18.75">
      <c r="B16" s="273" t="s">
        <v>251</v>
      </c>
      <c r="C16" s="273"/>
      <c r="D16" s="273"/>
      <c r="E16" s="273"/>
      <c r="F16" s="273" t="s">
        <v>252</v>
      </c>
      <c r="G16" s="273"/>
      <c r="H16" s="273"/>
      <c r="I16" s="273"/>
    </row>
    <row r="17" s="193" customFormat="1" ht="18.75"/>
    <row r="19" spans="2:8" ht="29.25" customHeight="1">
      <c r="B19" s="197" t="s">
        <v>253</v>
      </c>
      <c r="F19" s="273" t="s">
        <v>254</v>
      </c>
      <c r="G19" s="273"/>
      <c r="H19" s="273"/>
    </row>
    <row r="21" ht="15.75">
      <c r="A21" s="177" t="s">
        <v>247</v>
      </c>
    </row>
  </sheetData>
  <sheetProtection/>
  <mergeCells count="22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J3:J4"/>
    <mergeCell ref="K3:K4"/>
    <mergeCell ref="L3:L4"/>
    <mergeCell ref="R3:R4"/>
    <mergeCell ref="N3:N4"/>
    <mergeCell ref="O3:O4"/>
    <mergeCell ref="P3:P4"/>
    <mergeCell ref="Q3:Q4"/>
    <mergeCell ref="B16:E16"/>
    <mergeCell ref="F16:I16"/>
    <mergeCell ref="F19:H19"/>
    <mergeCell ref="I3:I4"/>
  </mergeCells>
  <printOptions/>
  <pageMargins left="0" right="0" top="0" bottom="0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B43" sqref="B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4.125" style="0" customWidth="1"/>
    <col min="9" max="9" width="9.875" style="0" bestFit="1" customWidth="1"/>
  </cols>
  <sheetData>
    <row r="1" spans="1:8" ht="121.5" customHeight="1">
      <c r="A1" s="198" t="s">
        <v>83</v>
      </c>
      <c r="B1" s="198"/>
      <c r="C1" s="198"/>
      <c r="D1" s="198"/>
      <c r="E1" s="198"/>
      <c r="F1" s="198"/>
      <c r="G1" s="198"/>
      <c r="H1" s="198"/>
    </row>
    <row r="2" spans="1:8" ht="78" customHeight="1">
      <c r="A2" s="227" t="s">
        <v>84</v>
      </c>
      <c r="B2" s="227"/>
      <c r="C2" s="227"/>
      <c r="D2" s="227"/>
      <c r="E2" s="227"/>
      <c r="F2" s="227"/>
      <c r="G2" s="227"/>
      <c r="H2" s="227"/>
    </row>
    <row r="3" spans="1:6" ht="18.75">
      <c r="A3" s="1" t="s">
        <v>77</v>
      </c>
      <c r="B3" s="1" t="s">
        <v>85</v>
      </c>
      <c r="C3" s="2"/>
      <c r="D3" s="2" t="s">
        <v>0</v>
      </c>
      <c r="E3" s="4">
        <v>7333.9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144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87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222"/>
      <c r="C7" s="222"/>
      <c r="D7" s="222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223" t="s">
        <v>64</v>
      </c>
      <c r="C8" s="224"/>
      <c r="D8" s="224"/>
      <c r="E8" s="224"/>
      <c r="F8" s="225"/>
      <c r="G8" s="15"/>
      <c r="H8" s="16"/>
    </row>
    <row r="9" spans="1:8" ht="15.75" customHeight="1">
      <c r="A9" s="23"/>
      <c r="B9" s="213" t="s">
        <v>73</v>
      </c>
      <c r="C9" s="213"/>
      <c r="D9" s="213"/>
      <c r="E9" s="213"/>
      <c r="F9" s="213"/>
      <c r="G9" s="15"/>
      <c r="H9" s="32">
        <v>94201.79</v>
      </c>
    </row>
    <row r="10" spans="1:8" ht="15.75">
      <c r="A10" s="23">
        <v>1</v>
      </c>
      <c r="B10" s="205" t="s">
        <v>62</v>
      </c>
      <c r="C10" s="205"/>
      <c r="D10" s="205"/>
      <c r="E10" s="205"/>
      <c r="F10" s="205"/>
      <c r="G10" s="17"/>
      <c r="H10" s="35">
        <v>1099943.57</v>
      </c>
    </row>
    <row r="11" spans="1:8" ht="15.75">
      <c r="A11" s="23"/>
      <c r="B11" s="205" t="s">
        <v>75</v>
      </c>
      <c r="C11" s="205"/>
      <c r="D11" s="205"/>
      <c r="E11" s="205"/>
      <c r="F11" s="205"/>
      <c r="G11" s="17"/>
      <c r="H11" s="49">
        <f>H10*0.9</f>
        <v>989949.2130000001</v>
      </c>
    </row>
    <row r="12" spans="1:8" ht="15.75">
      <c r="A12" s="23"/>
      <c r="B12" s="205" t="s">
        <v>76</v>
      </c>
      <c r="C12" s="205"/>
      <c r="D12" s="205"/>
      <c r="E12" s="205"/>
      <c r="F12" s="205"/>
      <c r="G12" s="17"/>
      <c r="H12" s="36">
        <f>H10-H11</f>
        <v>109994.35699999996</v>
      </c>
    </row>
    <row r="13" spans="1:8" ht="15.75">
      <c r="A13" s="23">
        <v>2</v>
      </c>
      <c r="B13" s="205" t="s">
        <v>63</v>
      </c>
      <c r="C13" s="205"/>
      <c r="D13" s="205"/>
      <c r="E13" s="205"/>
      <c r="F13" s="205"/>
      <c r="G13" s="17"/>
      <c r="H13" s="18">
        <v>1028764.19</v>
      </c>
    </row>
    <row r="14" spans="1:8" ht="15.75">
      <c r="A14" s="23">
        <v>3</v>
      </c>
      <c r="B14" s="205" t="s">
        <v>67</v>
      </c>
      <c r="C14" s="205"/>
      <c r="D14" s="205"/>
      <c r="E14" s="205"/>
      <c r="F14" s="205"/>
      <c r="G14" s="17"/>
      <c r="H14" s="36">
        <f>H10-H13</f>
        <v>71179.38000000012</v>
      </c>
    </row>
    <row r="15" spans="1:9" ht="15.75">
      <c r="A15" s="23">
        <v>4</v>
      </c>
      <c r="B15" s="213" t="s">
        <v>74</v>
      </c>
      <c r="C15" s="213"/>
      <c r="D15" s="213"/>
      <c r="E15" s="213"/>
      <c r="F15" s="213"/>
      <c r="G15" s="17"/>
      <c r="H15" s="37">
        <f>H9+H10-H13</f>
        <v>165381.17000000016</v>
      </c>
      <c r="I15" s="31"/>
    </row>
    <row r="16" spans="1:8" ht="18.75">
      <c r="A16" s="23">
        <v>5</v>
      </c>
      <c r="B16" s="215" t="s">
        <v>65</v>
      </c>
      <c r="C16" s="215"/>
      <c r="D16" s="215"/>
      <c r="E16" s="215"/>
      <c r="F16" s="215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219" t="s">
        <v>18</v>
      </c>
      <c r="C18" s="219"/>
      <c r="D18" s="219"/>
      <c r="E18" s="6" t="s">
        <v>32</v>
      </c>
      <c r="F18" s="6" t="s">
        <v>24</v>
      </c>
      <c r="G18" s="12">
        <v>1.06</v>
      </c>
      <c r="H18" s="39">
        <f>ROUND(G18*$E$3*12,2)</f>
        <v>93287.21</v>
      </c>
    </row>
    <row r="19" spans="1:8" ht="15.75">
      <c r="A19" s="23" t="s">
        <v>41</v>
      </c>
      <c r="B19" s="219" t="s">
        <v>17</v>
      </c>
      <c r="C19" s="219"/>
      <c r="D19" s="219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22881.77</v>
      </c>
    </row>
    <row r="20" spans="1:8" ht="15.75">
      <c r="A20" s="26" t="s">
        <v>42</v>
      </c>
      <c r="B20" s="205" t="s">
        <v>23</v>
      </c>
      <c r="C20" s="205"/>
      <c r="D20" s="205"/>
      <c r="E20" s="7" t="s">
        <v>8</v>
      </c>
      <c r="F20" s="7" t="s">
        <v>20</v>
      </c>
      <c r="G20" s="12">
        <v>0.9</v>
      </c>
      <c r="H20" s="39">
        <f t="shared" si="0"/>
        <v>79206.12</v>
      </c>
    </row>
    <row r="21" spans="1:8" ht="33" customHeight="1">
      <c r="A21" s="23" t="s">
        <v>43</v>
      </c>
      <c r="B21" s="226" t="s">
        <v>31</v>
      </c>
      <c r="C21" s="226"/>
      <c r="D21" s="226"/>
      <c r="E21" s="8" t="s">
        <v>9</v>
      </c>
      <c r="F21" s="8" t="s">
        <v>10</v>
      </c>
      <c r="G21" s="12">
        <v>0.46</v>
      </c>
      <c r="H21" s="39">
        <f t="shared" si="0"/>
        <v>40483.13</v>
      </c>
    </row>
    <row r="22" spans="1:8" ht="63">
      <c r="A22" s="26" t="s">
        <v>46</v>
      </c>
      <c r="B22" s="205" t="s">
        <v>27</v>
      </c>
      <c r="C22" s="205"/>
      <c r="D22" s="205"/>
      <c r="E22" s="7" t="s">
        <v>34</v>
      </c>
      <c r="F22" s="7" t="s">
        <v>25</v>
      </c>
      <c r="G22" s="12">
        <v>0.11</v>
      </c>
      <c r="H22" s="39">
        <f t="shared" si="0"/>
        <v>9680.75</v>
      </c>
    </row>
    <row r="23" spans="1:8" ht="31.5">
      <c r="A23" s="23" t="s">
        <v>44</v>
      </c>
      <c r="B23" s="205" t="s">
        <v>11</v>
      </c>
      <c r="C23" s="205"/>
      <c r="D23" s="205"/>
      <c r="E23" s="7" t="s">
        <v>9</v>
      </c>
      <c r="F23" s="7" t="s">
        <v>12</v>
      </c>
      <c r="G23" s="12">
        <v>1.89</v>
      </c>
      <c r="H23" s="39">
        <f t="shared" si="0"/>
        <v>166332.85</v>
      </c>
    </row>
    <row r="24" spans="1:8" ht="15.75">
      <c r="A24" s="26" t="s">
        <v>45</v>
      </c>
      <c r="B24" s="205" t="s">
        <v>26</v>
      </c>
      <c r="C24" s="206"/>
      <c r="D24" s="206"/>
      <c r="E24" s="9" t="s">
        <v>13</v>
      </c>
      <c r="F24" s="9" t="s">
        <v>14</v>
      </c>
      <c r="G24" s="12">
        <v>0.04</v>
      </c>
      <c r="H24" s="39">
        <f t="shared" si="0"/>
        <v>3520.27</v>
      </c>
    </row>
    <row r="25" spans="1:8" ht="36.75" customHeight="1">
      <c r="A25" s="23" t="s">
        <v>47</v>
      </c>
      <c r="B25" s="216" t="s">
        <v>81</v>
      </c>
      <c r="C25" s="217"/>
      <c r="D25" s="218"/>
      <c r="E25" s="9" t="s">
        <v>13</v>
      </c>
      <c r="F25" s="45" t="s">
        <v>82</v>
      </c>
      <c r="G25" s="12">
        <v>0.22</v>
      </c>
      <c r="H25" s="39">
        <f t="shared" si="0"/>
        <v>19361.5</v>
      </c>
    </row>
    <row r="26" spans="1:8" ht="31.5">
      <c r="A26" s="26" t="s">
        <v>48</v>
      </c>
      <c r="B26" s="205" t="s">
        <v>71</v>
      </c>
      <c r="C26" s="205"/>
      <c r="D26" s="205"/>
      <c r="E26" s="6" t="s">
        <v>35</v>
      </c>
      <c r="F26" s="46" t="s">
        <v>82</v>
      </c>
      <c r="G26" s="12">
        <v>2.5</v>
      </c>
      <c r="H26" s="39">
        <f t="shared" si="0"/>
        <v>220017</v>
      </c>
    </row>
    <row r="27" spans="1:8" ht="31.5">
      <c r="A27" s="23" t="s">
        <v>49</v>
      </c>
      <c r="B27" s="219" t="s">
        <v>15</v>
      </c>
      <c r="C27" s="219"/>
      <c r="D27" s="219"/>
      <c r="E27" s="6" t="s">
        <v>35</v>
      </c>
      <c r="F27" s="46" t="s">
        <v>82</v>
      </c>
      <c r="G27" s="12">
        <v>0.46</v>
      </c>
      <c r="H27" s="39">
        <f t="shared" si="0"/>
        <v>40483.13</v>
      </c>
    </row>
    <row r="28" spans="1:8" ht="31.5">
      <c r="A28" s="26" t="s">
        <v>50</v>
      </c>
      <c r="B28" s="220" t="s">
        <v>36</v>
      </c>
      <c r="C28" s="221"/>
      <c r="D28" s="221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166332.85</v>
      </c>
    </row>
    <row r="29" spans="1:8" ht="31.5">
      <c r="A29" s="23" t="s">
        <v>51</v>
      </c>
      <c r="B29" s="205" t="s">
        <v>28</v>
      </c>
      <c r="C29" s="205"/>
      <c r="D29" s="205"/>
      <c r="E29" s="6" t="s">
        <v>35</v>
      </c>
      <c r="F29" s="46" t="s">
        <v>82</v>
      </c>
      <c r="G29" s="13">
        <v>0.25</v>
      </c>
      <c r="H29" s="39">
        <f t="shared" si="0"/>
        <v>22001.7</v>
      </c>
    </row>
    <row r="30" spans="1:8" ht="31.5">
      <c r="A30" s="26" t="s">
        <v>52</v>
      </c>
      <c r="B30" s="205" t="s">
        <v>29</v>
      </c>
      <c r="C30" s="205"/>
      <c r="D30" s="205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206" t="s">
        <v>21</v>
      </c>
      <c r="C31" s="206"/>
      <c r="D31" s="206"/>
      <c r="E31" s="6" t="s">
        <v>35</v>
      </c>
      <c r="F31" s="46" t="s">
        <v>82</v>
      </c>
      <c r="G31" s="9">
        <v>1.26</v>
      </c>
      <c r="H31" s="39">
        <f t="shared" si="0"/>
        <v>110888.57</v>
      </c>
    </row>
    <row r="32" spans="1:8" ht="15.75">
      <c r="A32" s="23" t="s">
        <v>54</v>
      </c>
      <c r="B32" s="204" t="s">
        <v>30</v>
      </c>
      <c r="C32" s="204"/>
      <c r="D32" s="204"/>
      <c r="E32" s="14"/>
      <c r="F32" s="46"/>
      <c r="G32" s="21">
        <f>SUM(G18:G31)</f>
        <v>11.299999999999999</v>
      </c>
      <c r="H32" s="40">
        <f>SUM(H18:H31)</f>
        <v>994476.8500000001</v>
      </c>
    </row>
    <row r="33" spans="1:8" ht="15.75">
      <c r="A33" s="23" t="s">
        <v>55</v>
      </c>
      <c r="B33" s="213" t="s">
        <v>37</v>
      </c>
      <c r="C33" s="206"/>
      <c r="D33" s="206"/>
      <c r="E33" s="14"/>
      <c r="F33" s="46" t="s">
        <v>82</v>
      </c>
      <c r="G33" s="24">
        <f>H33/E3/12</f>
        <v>0.8522068749233015</v>
      </c>
      <c r="H33" s="28">
        <v>75000</v>
      </c>
    </row>
    <row r="34" spans="1:8" ht="18.75">
      <c r="A34" s="25" t="s">
        <v>56</v>
      </c>
      <c r="B34" s="214" t="s">
        <v>69</v>
      </c>
      <c r="C34" s="214"/>
      <c r="D34" s="214"/>
      <c r="E34" s="214"/>
      <c r="F34" s="214"/>
      <c r="G34" s="5">
        <f>SUM(G32:G33)</f>
        <v>12.1522068749233</v>
      </c>
      <c r="H34" s="41">
        <f>SUM(H32:H33)</f>
        <v>1069476.85</v>
      </c>
    </row>
    <row r="35" spans="1:8" ht="18.75">
      <c r="A35" s="23" t="s">
        <v>61</v>
      </c>
      <c r="B35" s="210" t="s">
        <v>38</v>
      </c>
      <c r="C35" s="211"/>
      <c r="D35" s="211"/>
      <c r="E35" s="211"/>
      <c r="F35" s="211"/>
      <c r="G35" s="212"/>
      <c r="H35" s="29"/>
    </row>
    <row r="36" spans="1:8" ht="15.75" customHeight="1">
      <c r="A36" s="23" t="s">
        <v>57</v>
      </c>
      <c r="B36" s="207" t="s">
        <v>68</v>
      </c>
      <c r="C36" s="208"/>
      <c r="D36" s="208"/>
      <c r="E36" s="208"/>
      <c r="F36" s="208"/>
      <c r="G36" s="209"/>
      <c r="H36" s="30">
        <v>-151764.93</v>
      </c>
    </row>
    <row r="37" spans="1:8" ht="15.75" customHeight="1">
      <c r="A37" s="23" t="s">
        <v>58</v>
      </c>
      <c r="B37" s="207" t="s">
        <v>72</v>
      </c>
      <c r="C37" s="208"/>
      <c r="D37" s="208"/>
      <c r="E37" s="208"/>
      <c r="F37" s="208"/>
      <c r="G37" s="209"/>
      <c r="H37" s="42">
        <f>H13-H34</f>
        <v>-40712.66000000015</v>
      </c>
    </row>
    <row r="38" spans="1:8" ht="15.75" customHeight="1">
      <c r="A38" s="23" t="s">
        <v>59</v>
      </c>
      <c r="B38" s="207" t="s">
        <v>70</v>
      </c>
      <c r="C38" s="208"/>
      <c r="D38" s="208"/>
      <c r="E38" s="208"/>
      <c r="F38" s="208"/>
      <c r="G38" s="209"/>
      <c r="H38" s="42">
        <f>H36+H37</f>
        <v>-192477.59000000014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203" t="s">
        <v>88</v>
      </c>
      <c r="C44" s="203"/>
      <c r="D44" s="203"/>
    </row>
  </sheetData>
  <sheetProtection/>
  <mergeCells count="34">
    <mergeCell ref="A1:H1"/>
    <mergeCell ref="B7:D7"/>
    <mergeCell ref="B8:F8"/>
    <mergeCell ref="B21:D21"/>
    <mergeCell ref="B11:F11"/>
    <mergeCell ref="B12:F12"/>
    <mergeCell ref="B10:F10"/>
    <mergeCell ref="B13:F13"/>
    <mergeCell ref="B14:F14"/>
    <mergeCell ref="A2:H2"/>
    <mergeCell ref="B22:D22"/>
    <mergeCell ref="B19:D19"/>
    <mergeCell ref="B20:D20"/>
    <mergeCell ref="B18:D18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6.625" style="0" customWidth="1"/>
    <col min="2" max="2" width="25.125" style="0" customWidth="1"/>
    <col min="3" max="3" width="3.75390625" style="0" customWidth="1"/>
    <col min="4" max="4" width="24.875" style="0" customWidth="1"/>
    <col min="5" max="5" width="16.875" style="0" customWidth="1"/>
    <col min="6" max="6" width="0.12890625" style="0" customWidth="1"/>
    <col min="7" max="7" width="0.2421875" style="0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98" t="s">
        <v>195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54" customHeight="1">
      <c r="A2" s="232" t="s">
        <v>196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7333.9</v>
      </c>
      <c r="F3" s="2"/>
      <c r="I3" s="87">
        <v>0</v>
      </c>
    </row>
    <row r="4" spans="2:9" ht="15.75">
      <c r="B4" s="3" t="s">
        <v>1</v>
      </c>
      <c r="C4" s="27">
        <v>9</v>
      </c>
      <c r="D4" s="2" t="s">
        <v>2</v>
      </c>
      <c r="E4" s="4">
        <v>144</v>
      </c>
      <c r="F4" s="2"/>
      <c r="I4" t="s">
        <v>101</v>
      </c>
    </row>
    <row r="5" spans="2:9" ht="15.75">
      <c r="B5" s="3" t="s">
        <v>3</v>
      </c>
      <c r="C5" s="4">
        <v>4</v>
      </c>
      <c r="D5" s="2" t="s">
        <v>4</v>
      </c>
      <c r="E5" s="2" t="s">
        <v>87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33" t="s">
        <v>141</v>
      </c>
      <c r="C7" s="234"/>
      <c r="D7" s="235"/>
      <c r="E7" s="11" t="s">
        <v>6</v>
      </c>
      <c r="F7" s="11" t="s">
        <v>7</v>
      </c>
      <c r="G7" s="33" t="s">
        <v>22</v>
      </c>
      <c r="H7" s="236" t="s">
        <v>142</v>
      </c>
      <c r="I7" s="237"/>
      <c r="J7" s="238"/>
    </row>
    <row r="8" spans="1:10" ht="15.75">
      <c r="A8" s="23">
        <v>1</v>
      </c>
      <c r="B8" s="223"/>
      <c r="C8" s="224"/>
      <c r="D8" s="224"/>
      <c r="E8" s="224"/>
      <c r="F8" s="225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223" t="s">
        <v>146</v>
      </c>
      <c r="C9" s="224"/>
      <c r="D9" s="224"/>
      <c r="E9" s="224"/>
      <c r="F9" s="225"/>
      <c r="G9" s="78"/>
      <c r="H9" s="78"/>
      <c r="I9" s="58"/>
      <c r="J9" s="91"/>
    </row>
    <row r="10" spans="1:10" ht="15.75" customHeight="1">
      <c r="A10" s="92"/>
      <c r="B10" s="231" t="s">
        <v>147</v>
      </c>
      <c r="C10" s="231"/>
      <c r="D10" s="231"/>
      <c r="E10" s="231"/>
      <c r="F10" s="231"/>
      <c r="G10" s="15"/>
      <c r="H10" s="93">
        <v>1068795.67</v>
      </c>
      <c r="I10" s="75"/>
      <c r="J10" s="94">
        <f>H10+I10</f>
        <v>1068795.67</v>
      </c>
    </row>
    <row r="11" spans="1:10" ht="15.75" customHeight="1">
      <c r="A11" s="92"/>
      <c r="B11" s="231" t="s">
        <v>148</v>
      </c>
      <c r="C11" s="231"/>
      <c r="D11" s="231"/>
      <c r="E11" s="231"/>
      <c r="F11" s="231"/>
      <c r="G11" s="15"/>
      <c r="H11" s="16">
        <v>41944.76</v>
      </c>
      <c r="I11" s="75"/>
      <c r="J11" s="94">
        <f>H11+I11</f>
        <v>41944.76</v>
      </c>
    </row>
    <row r="12" spans="1:10" ht="15.75" customHeight="1">
      <c r="A12" s="23"/>
      <c r="B12" s="231" t="s">
        <v>149</v>
      </c>
      <c r="C12" s="231"/>
      <c r="D12" s="231"/>
      <c r="E12" s="231"/>
      <c r="F12" s="231"/>
      <c r="G12" s="15"/>
      <c r="H12" s="93"/>
      <c r="I12" s="75">
        <v>0</v>
      </c>
      <c r="J12" s="94">
        <f>H12+I12</f>
        <v>0</v>
      </c>
    </row>
    <row r="13" spans="1:10" ht="15.75" customHeight="1">
      <c r="A13" s="23"/>
      <c r="B13" s="231" t="s">
        <v>150</v>
      </c>
      <c r="C13" s="231"/>
      <c r="D13" s="231"/>
      <c r="E13" s="231"/>
      <c r="F13" s="231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213" t="s">
        <v>151</v>
      </c>
      <c r="C14" s="213"/>
      <c r="D14" s="213"/>
      <c r="E14" s="213"/>
      <c r="F14" s="213"/>
      <c r="G14" s="15"/>
      <c r="H14" s="96">
        <f>SUM(H10:H12)</f>
        <v>1110740.43</v>
      </c>
      <c r="I14" s="97">
        <f>SUM(I10:I12)</f>
        <v>0</v>
      </c>
      <c r="J14" s="96">
        <f>SUM(J10:J12)</f>
        <v>1110740.43</v>
      </c>
    </row>
    <row r="15" spans="1:10" ht="18.75" customHeight="1">
      <c r="A15" s="23">
        <v>2</v>
      </c>
      <c r="B15" s="215" t="s">
        <v>65</v>
      </c>
      <c r="C15" s="215"/>
      <c r="D15" s="215"/>
      <c r="E15" s="215"/>
      <c r="F15" s="215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30" t="s">
        <v>201</v>
      </c>
      <c r="C17" s="230"/>
      <c r="D17" s="230"/>
      <c r="E17" s="98" t="s">
        <v>32</v>
      </c>
      <c r="F17" s="80" t="s">
        <v>24</v>
      </c>
      <c r="G17" s="81">
        <v>1.06</v>
      </c>
      <c r="H17" s="99">
        <f>ROUND(G17*$E$3*12,2)</f>
        <v>93287.21</v>
      </c>
      <c r="I17" s="100">
        <f>$I$12*0.08</f>
        <v>0</v>
      </c>
      <c r="J17" s="101">
        <f>SUM(H17:I17)</f>
        <v>93287.21</v>
      </c>
    </row>
    <row r="18" spans="1:10" ht="36" customHeight="1">
      <c r="A18" s="23"/>
      <c r="B18" s="155" t="s">
        <v>17</v>
      </c>
      <c r="C18" s="155"/>
      <c r="D18" s="155"/>
      <c r="E18" s="98" t="s">
        <v>32</v>
      </c>
      <c r="F18" s="80" t="s">
        <v>19</v>
      </c>
      <c r="G18" s="81">
        <v>0.26</v>
      </c>
      <c r="H18" s="99">
        <f>ROUND(G18*$E$3*12,2)</f>
        <v>22881.77</v>
      </c>
      <c r="I18" s="100">
        <f>$I$12*0.02</f>
        <v>0</v>
      </c>
      <c r="J18" s="101">
        <f>SUM(H18:I18)</f>
        <v>22881.77</v>
      </c>
    </row>
    <row r="19" spans="1:10" ht="20.25" customHeight="1">
      <c r="A19" s="23"/>
      <c r="B19" s="157" t="s">
        <v>23</v>
      </c>
      <c r="C19" s="157"/>
      <c r="D19" s="157"/>
      <c r="E19" s="102" t="s">
        <v>153</v>
      </c>
      <c r="F19" s="83" t="s">
        <v>20</v>
      </c>
      <c r="G19" s="81">
        <v>0.9</v>
      </c>
      <c r="H19" s="99">
        <f>J19-I19</f>
        <v>101685.08</v>
      </c>
      <c r="I19" s="100">
        <f>$I$12*0.07</f>
        <v>0</v>
      </c>
      <c r="J19" s="103">
        <v>101685.08</v>
      </c>
    </row>
    <row r="20" spans="1:10" ht="20.25" customHeight="1">
      <c r="A20" s="26"/>
      <c r="B20" s="230" t="s">
        <v>31</v>
      </c>
      <c r="C20" s="230"/>
      <c r="D20" s="230"/>
      <c r="E20" s="104" t="s">
        <v>9</v>
      </c>
      <c r="F20" s="84" t="s">
        <v>10</v>
      </c>
      <c r="G20" s="81">
        <v>0.46</v>
      </c>
      <c r="H20" s="99">
        <f>ROUND(G20*$E$3*12,2)</f>
        <v>40483.13</v>
      </c>
      <c r="I20" s="100">
        <f>$I$12*0.04</f>
        <v>0</v>
      </c>
      <c r="J20" s="101">
        <f>SUM(H20:I20)</f>
        <v>40483.13</v>
      </c>
    </row>
    <row r="21" spans="1:10" ht="55.5" customHeight="1">
      <c r="A21" s="23"/>
      <c r="B21" s="157" t="s">
        <v>27</v>
      </c>
      <c r="C21" s="157"/>
      <c r="D21" s="157"/>
      <c r="E21" s="102" t="s">
        <v>154</v>
      </c>
      <c r="F21" s="83" t="s">
        <v>25</v>
      </c>
      <c r="G21" s="81">
        <v>0.11</v>
      </c>
      <c r="H21" s="99">
        <f>J21-I21</f>
        <v>6353.34</v>
      </c>
      <c r="I21" s="100">
        <f>$I$12*0.01</f>
        <v>0</v>
      </c>
      <c r="J21" s="103">
        <v>6353.34</v>
      </c>
    </row>
    <row r="22" spans="1:10" ht="20.25" customHeight="1">
      <c r="A22" s="26"/>
      <c r="B22" s="157" t="s">
        <v>11</v>
      </c>
      <c r="C22" s="157"/>
      <c r="D22" s="157"/>
      <c r="E22" s="102" t="s">
        <v>9</v>
      </c>
      <c r="F22" s="83" t="s">
        <v>12</v>
      </c>
      <c r="G22" s="81">
        <v>1.93</v>
      </c>
      <c r="H22" s="99">
        <f>J22-I22</f>
        <v>126217.71</v>
      </c>
      <c r="I22" s="100">
        <f>$I$12*0.15</f>
        <v>0</v>
      </c>
      <c r="J22" s="103">
        <v>126217.71</v>
      </c>
    </row>
    <row r="23" spans="1:10" ht="31.5" customHeight="1">
      <c r="A23" s="26"/>
      <c r="B23" s="157" t="s">
        <v>26</v>
      </c>
      <c r="C23" s="158"/>
      <c r="D23" s="158"/>
      <c r="E23" s="105" t="s">
        <v>13</v>
      </c>
      <c r="F23" s="77" t="s">
        <v>14</v>
      </c>
      <c r="G23" s="81">
        <v>0.04</v>
      </c>
      <c r="H23" s="99">
        <f>J23-I23</f>
        <v>8099.89</v>
      </c>
      <c r="I23" s="100">
        <f>$I$12*0.003</f>
        <v>0</v>
      </c>
      <c r="J23" s="103">
        <v>8099.89</v>
      </c>
    </row>
    <row r="24" spans="1:10" ht="28.5" customHeight="1">
      <c r="A24" s="23"/>
      <c r="B24" s="157" t="s">
        <v>71</v>
      </c>
      <c r="C24" s="157"/>
      <c r="D24" s="157"/>
      <c r="E24" s="98" t="s">
        <v>35</v>
      </c>
      <c r="F24" s="46" t="s">
        <v>82</v>
      </c>
      <c r="G24" s="81">
        <v>1.87</v>
      </c>
      <c r="H24" s="99">
        <f aca="true" t="shared" si="0" ref="H24:H29">ROUND(G24*$E$3*12,2)</f>
        <v>164572.72</v>
      </c>
      <c r="I24" s="100">
        <f>$I$12*0.19</f>
        <v>0</v>
      </c>
      <c r="J24" s="101">
        <f aca="true" t="shared" si="1" ref="J24:J29">SUM(H24:I24)</f>
        <v>164572.72</v>
      </c>
    </row>
    <row r="25" spans="1:10" ht="26.25" customHeight="1">
      <c r="A25" s="23"/>
      <c r="B25" s="155" t="s">
        <v>15</v>
      </c>
      <c r="C25" s="155"/>
      <c r="D25" s="155"/>
      <c r="E25" s="98" t="s">
        <v>35</v>
      </c>
      <c r="F25" s="46" t="s">
        <v>82</v>
      </c>
      <c r="G25" s="81">
        <v>0.46</v>
      </c>
      <c r="H25" s="106">
        <f t="shared" si="0"/>
        <v>40483.13</v>
      </c>
      <c r="I25" s="100">
        <v>0</v>
      </c>
      <c r="J25" s="101">
        <f t="shared" si="1"/>
        <v>40483.13</v>
      </c>
    </row>
    <row r="26" spans="1:10" ht="30" customHeight="1">
      <c r="A26" s="23"/>
      <c r="B26" s="156" t="s">
        <v>36</v>
      </c>
      <c r="C26" s="195"/>
      <c r="D26" s="196"/>
      <c r="E26" s="98" t="s">
        <v>35</v>
      </c>
      <c r="F26" s="46" t="s">
        <v>82</v>
      </c>
      <c r="G26" s="48">
        <f>2.99-G27-G28</f>
        <v>2.74</v>
      </c>
      <c r="H26" s="106">
        <f t="shared" si="0"/>
        <v>241138.63</v>
      </c>
      <c r="I26" s="107">
        <f>$I$12*0.18</f>
        <v>0</v>
      </c>
      <c r="J26" s="101">
        <f t="shared" si="1"/>
        <v>241138.63</v>
      </c>
    </row>
    <row r="27" spans="1:10" ht="26.25" customHeight="1">
      <c r="A27" s="26"/>
      <c r="B27" s="157" t="s">
        <v>155</v>
      </c>
      <c r="C27" s="157"/>
      <c r="D27" s="157"/>
      <c r="E27" s="98" t="s">
        <v>35</v>
      </c>
      <c r="F27" s="46" t="s">
        <v>82</v>
      </c>
      <c r="G27" s="48">
        <v>0.25</v>
      </c>
      <c r="H27" s="106">
        <f t="shared" si="0"/>
        <v>22001.7</v>
      </c>
      <c r="I27" s="107">
        <f>$I$12*0.02</f>
        <v>0</v>
      </c>
      <c r="J27" s="101">
        <f t="shared" si="1"/>
        <v>22001.7</v>
      </c>
    </row>
    <row r="28" spans="1:10" ht="28.5" customHeight="1">
      <c r="A28" s="23"/>
      <c r="B28" s="157" t="s">
        <v>156</v>
      </c>
      <c r="C28" s="157"/>
      <c r="D28" s="157"/>
      <c r="E28" s="102" t="s">
        <v>9</v>
      </c>
      <c r="F28" s="46" t="s">
        <v>82</v>
      </c>
      <c r="G28" s="48">
        <v>0</v>
      </c>
      <c r="H28" s="106">
        <f t="shared" si="0"/>
        <v>0</v>
      </c>
      <c r="I28" s="107">
        <v>0</v>
      </c>
      <c r="J28" s="101">
        <f t="shared" si="1"/>
        <v>0</v>
      </c>
    </row>
    <row r="29" spans="1:10" ht="27" customHeight="1">
      <c r="A29" s="23"/>
      <c r="B29" s="158" t="s">
        <v>21</v>
      </c>
      <c r="C29" s="158"/>
      <c r="D29" s="158"/>
      <c r="E29" s="102" t="s">
        <v>9</v>
      </c>
      <c r="F29" s="46" t="s">
        <v>82</v>
      </c>
      <c r="G29" s="77">
        <v>1.26</v>
      </c>
      <c r="H29" s="99">
        <f t="shared" si="0"/>
        <v>110888.57</v>
      </c>
      <c r="I29" s="100">
        <f>$I$12*0.1</f>
        <v>0</v>
      </c>
      <c r="J29" s="101">
        <f t="shared" si="1"/>
        <v>110888.57</v>
      </c>
    </row>
    <row r="30" spans="1:10" ht="21.75" customHeight="1">
      <c r="A30" s="23"/>
      <c r="B30" s="159" t="s">
        <v>157</v>
      </c>
      <c r="C30" s="228"/>
      <c r="D30" s="229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159" t="s">
        <v>158</v>
      </c>
      <c r="C31" s="228"/>
      <c r="D31" s="229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194"/>
      <c r="C32" s="195"/>
      <c r="D32" s="196"/>
      <c r="E32" s="102"/>
      <c r="F32" s="46"/>
      <c r="G32" s="77"/>
      <c r="H32" s="106"/>
      <c r="I32" s="95"/>
      <c r="J32" s="108"/>
    </row>
    <row r="33" spans="1:10" ht="15.75">
      <c r="A33" s="23"/>
      <c r="B33" s="194"/>
      <c r="C33" s="195"/>
      <c r="D33" s="196"/>
      <c r="E33" s="102"/>
      <c r="F33" s="46"/>
      <c r="G33" s="77"/>
      <c r="H33" s="106"/>
      <c r="I33" s="95"/>
      <c r="J33" s="108"/>
    </row>
    <row r="34" spans="1:10" ht="15.75">
      <c r="A34" s="23"/>
      <c r="B34" s="204" t="s">
        <v>30</v>
      </c>
      <c r="C34" s="204"/>
      <c r="D34" s="204"/>
      <c r="E34" s="14"/>
      <c r="F34" s="46"/>
      <c r="G34" s="21">
        <f>SUM(G17:G29)</f>
        <v>11.34</v>
      </c>
      <c r="H34" s="40">
        <f>SUM(H17:H33)</f>
        <v>978092.8800000001</v>
      </c>
      <c r="I34" s="109">
        <f>SUM(I17:I33)</f>
        <v>0</v>
      </c>
      <c r="J34" s="40">
        <f>SUM(J17:J33)</f>
        <v>978092.8800000001</v>
      </c>
    </row>
    <row r="35" spans="1:10" ht="15" customHeight="1">
      <c r="A35" s="23" t="s">
        <v>159</v>
      </c>
      <c r="B35" s="172" t="s">
        <v>160</v>
      </c>
      <c r="C35" s="173"/>
      <c r="D35" s="173"/>
      <c r="E35" s="174"/>
      <c r="F35" s="46" t="s">
        <v>82</v>
      </c>
      <c r="G35" s="24">
        <f>H35/E3/12</f>
        <v>2.712290413922561</v>
      </c>
      <c r="H35" s="28">
        <v>238700</v>
      </c>
      <c r="I35" s="110">
        <v>0</v>
      </c>
      <c r="J35" s="96">
        <f>SUM(H35:I35)</f>
        <v>238700</v>
      </c>
    </row>
    <row r="36" spans="1:10" ht="14.25" customHeight="1">
      <c r="A36" s="25"/>
      <c r="B36" s="175" t="s">
        <v>69</v>
      </c>
      <c r="C36" s="175"/>
      <c r="D36" s="175"/>
      <c r="E36" s="175"/>
      <c r="F36" s="175"/>
      <c r="G36" s="5">
        <f>SUM(G34:G35)</f>
        <v>14.052290413922561</v>
      </c>
      <c r="H36" s="41">
        <f>SUM(H34:H35)</f>
        <v>1216792.8800000001</v>
      </c>
      <c r="I36" s="111">
        <f>SUM(I34:I35)</f>
        <v>0</v>
      </c>
      <c r="J36" s="41">
        <f>SUM(J34:J35)</f>
        <v>1216792.8800000001</v>
      </c>
    </row>
    <row r="37" spans="1:10" ht="15.75">
      <c r="A37" s="23" t="s">
        <v>161</v>
      </c>
      <c r="B37" s="160" t="s">
        <v>162</v>
      </c>
      <c r="C37" s="160"/>
      <c r="D37" s="160"/>
      <c r="E37" s="160"/>
      <c r="F37" s="160"/>
      <c r="G37" s="112"/>
      <c r="H37" s="113">
        <v>308432</v>
      </c>
      <c r="I37" s="113">
        <v>0</v>
      </c>
      <c r="J37" s="114">
        <f>SUM(H37:I37)</f>
        <v>308432</v>
      </c>
    </row>
    <row r="38" spans="1:10" ht="15" customHeight="1">
      <c r="A38" s="25"/>
      <c r="B38" s="175" t="s">
        <v>163</v>
      </c>
      <c r="C38" s="175"/>
      <c r="D38" s="175"/>
      <c r="E38" s="175"/>
      <c r="F38" s="175"/>
      <c r="G38" s="5">
        <f>SUM(G36:G37)</f>
        <v>14.052290413922561</v>
      </c>
      <c r="H38" s="41">
        <f>SUM(H36:H37)</f>
        <v>1525224.8800000001</v>
      </c>
      <c r="I38" s="111">
        <f>SUM(I36:I37)</f>
        <v>0</v>
      </c>
      <c r="J38" s="41">
        <f>SUM(J36:J37)</f>
        <v>1525224.8800000001</v>
      </c>
    </row>
    <row r="39" spans="1:10" ht="15.75" customHeight="1">
      <c r="A39" s="23">
        <v>3</v>
      </c>
      <c r="B39" s="161" t="s">
        <v>164</v>
      </c>
      <c r="C39" s="162"/>
      <c r="D39" s="162"/>
      <c r="E39" s="162"/>
      <c r="F39" s="162"/>
      <c r="G39" s="154"/>
      <c r="H39" s="115">
        <f>H14-H38</f>
        <v>-414484.4500000002</v>
      </c>
      <c r="I39" s="99">
        <f>I14-I38</f>
        <v>0</v>
      </c>
      <c r="J39" s="116">
        <f>J14-J38</f>
        <v>-414484.4500000002</v>
      </c>
    </row>
    <row r="40" spans="2:6" ht="15.75">
      <c r="B40" s="34"/>
      <c r="F40" s="34"/>
    </row>
    <row r="41" spans="2:6" ht="15.75">
      <c r="B41" s="43" t="s">
        <v>78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34" t="s">
        <v>86</v>
      </c>
      <c r="C43" s="47"/>
      <c r="D43" s="44"/>
    </row>
    <row r="44" spans="2:4" ht="15.75">
      <c r="B44" s="203" t="s">
        <v>88</v>
      </c>
      <c r="C44" s="203"/>
      <c r="D44" s="203"/>
    </row>
  </sheetData>
  <sheetProtection/>
  <mergeCells count="36">
    <mergeCell ref="A1:J1"/>
    <mergeCell ref="A2:J2"/>
    <mergeCell ref="B7:D7"/>
    <mergeCell ref="H7:J7"/>
    <mergeCell ref="B12:F12"/>
    <mergeCell ref="B13:F13"/>
    <mergeCell ref="B14:F14"/>
    <mergeCell ref="B15:F15"/>
    <mergeCell ref="B8:F8"/>
    <mergeCell ref="B9:F9"/>
    <mergeCell ref="B10:F10"/>
    <mergeCell ref="B11:F11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B33:D33"/>
    <mergeCell ref="B34:D34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8.00390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198" t="s">
        <v>197</v>
      </c>
      <c r="B1" s="198"/>
      <c r="C1" s="198"/>
      <c r="D1" s="198"/>
      <c r="E1" s="198"/>
      <c r="F1" s="198"/>
      <c r="G1" s="198"/>
      <c r="H1" s="198"/>
    </row>
    <row r="2" spans="1:6" ht="18.75">
      <c r="A2" s="1" t="s">
        <v>77</v>
      </c>
      <c r="B2" s="1" t="s">
        <v>85</v>
      </c>
      <c r="C2" s="2"/>
      <c r="D2" s="2" t="s">
        <v>0</v>
      </c>
      <c r="E2" s="4">
        <v>7333.9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87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43" t="s">
        <v>141</v>
      </c>
      <c r="C6" s="244"/>
      <c r="D6" s="245"/>
      <c r="E6" s="73" t="s">
        <v>6</v>
      </c>
      <c r="F6" s="73" t="s">
        <v>7</v>
      </c>
      <c r="G6" s="118" t="s">
        <v>189</v>
      </c>
      <c r="H6" s="119" t="s">
        <v>133</v>
      </c>
    </row>
    <row r="7" spans="1:8" ht="15.75" customHeight="1">
      <c r="A7" s="74">
        <v>1</v>
      </c>
      <c r="B7" s="246" t="s">
        <v>134</v>
      </c>
      <c r="C7" s="246"/>
      <c r="D7" s="246"/>
      <c r="E7" s="246"/>
      <c r="F7" s="246"/>
      <c r="G7" s="75"/>
      <c r="H7" s="76"/>
    </row>
    <row r="8" spans="1:8" ht="15.75" customHeight="1">
      <c r="A8" s="74"/>
      <c r="B8" s="213" t="s">
        <v>190</v>
      </c>
      <c r="C8" s="213"/>
      <c r="D8" s="213"/>
      <c r="E8" s="213"/>
      <c r="F8" s="213"/>
      <c r="G8" s="24">
        <f>G31</f>
        <v>14.489999999999997</v>
      </c>
      <c r="H8" s="76">
        <f>ROUND($E$2*G8*12,0)</f>
        <v>1275219</v>
      </c>
    </row>
    <row r="9" spans="1:8" ht="15.75" customHeight="1">
      <c r="A9" s="74"/>
      <c r="B9" s="248" t="s">
        <v>135</v>
      </c>
      <c r="C9" s="248"/>
      <c r="D9" s="248"/>
      <c r="E9" s="248"/>
      <c r="F9" s="248"/>
      <c r="G9" s="23">
        <v>0.76</v>
      </c>
      <c r="H9" s="76">
        <f>ROUND($E$2*G9*12,0)</f>
        <v>66885</v>
      </c>
    </row>
    <row r="10" spans="1:8" ht="15.75" customHeight="1">
      <c r="A10" s="74">
        <v>2</v>
      </c>
      <c r="B10" s="215" t="s">
        <v>65</v>
      </c>
      <c r="C10" s="215"/>
      <c r="D10" s="215"/>
      <c r="E10" s="215"/>
      <c r="F10" s="215"/>
      <c r="G10" s="77"/>
      <c r="H10" s="76"/>
    </row>
    <row r="11" spans="1:8" ht="18.75" customHeight="1">
      <c r="A11" s="74" t="s">
        <v>152</v>
      </c>
      <c r="B11" s="19" t="s">
        <v>66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47" t="s">
        <v>198</v>
      </c>
      <c r="C12" s="247"/>
      <c r="D12" s="247"/>
      <c r="E12" s="98" t="s">
        <v>32</v>
      </c>
      <c r="F12" s="80" t="s">
        <v>24</v>
      </c>
      <c r="G12" s="81">
        <v>1.22</v>
      </c>
      <c r="H12" s="82">
        <f aca="true" t="shared" si="0" ref="H12:H31">ROUND($E$2*G12*12,0)</f>
        <v>107368</v>
      </c>
    </row>
    <row r="13" spans="1:9" ht="15.75" customHeight="1">
      <c r="A13" s="79"/>
      <c r="B13" s="247" t="s">
        <v>17</v>
      </c>
      <c r="C13" s="247"/>
      <c r="D13" s="247"/>
      <c r="E13" s="98" t="s">
        <v>32</v>
      </c>
      <c r="F13" s="80" t="s">
        <v>19</v>
      </c>
      <c r="G13" s="81">
        <v>0.28</v>
      </c>
      <c r="H13" s="82">
        <f t="shared" si="0"/>
        <v>24642</v>
      </c>
      <c r="I13" s="31"/>
    </row>
    <row r="14" spans="1:8" ht="18.75" customHeight="1">
      <c r="A14" s="79"/>
      <c r="B14" s="249" t="s">
        <v>23</v>
      </c>
      <c r="C14" s="249"/>
      <c r="D14" s="249"/>
      <c r="E14" s="102" t="s">
        <v>153</v>
      </c>
      <c r="F14" s="83" t="s">
        <v>20</v>
      </c>
      <c r="G14" s="81">
        <v>0.99</v>
      </c>
      <c r="H14" s="82">
        <f t="shared" si="0"/>
        <v>87127</v>
      </c>
    </row>
    <row r="15" spans="1:8" ht="15.75" customHeight="1">
      <c r="A15" s="79"/>
      <c r="B15" s="251" t="s">
        <v>31</v>
      </c>
      <c r="C15" s="251"/>
      <c r="D15" s="251"/>
      <c r="E15" s="104" t="s">
        <v>9</v>
      </c>
      <c r="F15" s="84" t="s">
        <v>10</v>
      </c>
      <c r="G15" s="81">
        <v>0.51</v>
      </c>
      <c r="H15" s="82">
        <f t="shared" si="0"/>
        <v>44883</v>
      </c>
    </row>
    <row r="16" spans="1:8" ht="31.5" customHeight="1">
      <c r="A16" s="79"/>
      <c r="B16" s="249" t="s">
        <v>27</v>
      </c>
      <c r="C16" s="249"/>
      <c r="D16" s="249"/>
      <c r="E16" s="102" t="s">
        <v>154</v>
      </c>
      <c r="F16" s="83" t="s">
        <v>25</v>
      </c>
      <c r="G16" s="81">
        <v>0.12</v>
      </c>
      <c r="H16" s="82">
        <f t="shared" si="0"/>
        <v>10561</v>
      </c>
    </row>
    <row r="17" spans="1:8" ht="15.75" customHeight="1">
      <c r="A17" s="79"/>
      <c r="B17" s="249" t="s">
        <v>11</v>
      </c>
      <c r="C17" s="249"/>
      <c r="D17" s="249"/>
      <c r="E17" s="102" t="s">
        <v>9</v>
      </c>
      <c r="F17" s="83" t="s">
        <v>12</v>
      </c>
      <c r="G17" s="81">
        <v>2.22</v>
      </c>
      <c r="H17" s="82">
        <f t="shared" si="0"/>
        <v>195375</v>
      </c>
    </row>
    <row r="18" spans="1:8" ht="15.75" customHeight="1">
      <c r="A18" s="79"/>
      <c r="B18" s="249" t="s">
        <v>26</v>
      </c>
      <c r="C18" s="250"/>
      <c r="D18" s="250"/>
      <c r="E18" s="105" t="s">
        <v>13</v>
      </c>
      <c r="F18" s="77" t="s">
        <v>136</v>
      </c>
      <c r="G18" s="81">
        <v>0.05</v>
      </c>
      <c r="H18" s="82">
        <f t="shared" si="0"/>
        <v>4400</v>
      </c>
    </row>
    <row r="19" spans="1:8" ht="33" customHeight="1">
      <c r="A19" s="79"/>
      <c r="B19" s="249" t="s">
        <v>71</v>
      </c>
      <c r="C19" s="249"/>
      <c r="D19" s="249"/>
      <c r="E19" s="98" t="s">
        <v>35</v>
      </c>
      <c r="F19" s="83" t="s">
        <v>82</v>
      </c>
      <c r="G19" s="81">
        <v>2.15</v>
      </c>
      <c r="H19" s="82">
        <f t="shared" si="0"/>
        <v>189215</v>
      </c>
    </row>
    <row r="20" spans="1:8" ht="51">
      <c r="A20" s="79"/>
      <c r="B20" s="247" t="s">
        <v>15</v>
      </c>
      <c r="C20" s="247"/>
      <c r="D20" s="247"/>
      <c r="E20" s="98" t="s">
        <v>137</v>
      </c>
      <c r="F20" s="83" t="s">
        <v>82</v>
      </c>
      <c r="G20" s="81">
        <v>0.53</v>
      </c>
      <c r="H20" s="82">
        <f t="shared" si="0"/>
        <v>46644</v>
      </c>
    </row>
    <row r="21" spans="1:8" ht="25.5">
      <c r="A21" s="79"/>
      <c r="B21" s="249" t="s">
        <v>36</v>
      </c>
      <c r="C21" s="250"/>
      <c r="D21" s="250"/>
      <c r="E21" s="98" t="s">
        <v>35</v>
      </c>
      <c r="F21" s="83" t="s">
        <v>82</v>
      </c>
      <c r="G21" s="81">
        <f>3.52-G22-G23</f>
        <v>3.23</v>
      </c>
      <c r="H21" s="82">
        <f t="shared" si="0"/>
        <v>284262</v>
      </c>
    </row>
    <row r="22" spans="1:8" ht="15.75" customHeight="1">
      <c r="A22" s="79"/>
      <c r="B22" s="249" t="s">
        <v>191</v>
      </c>
      <c r="C22" s="249"/>
      <c r="D22" s="249"/>
      <c r="E22" s="102" t="s">
        <v>9</v>
      </c>
      <c r="F22" s="83" t="s">
        <v>82</v>
      </c>
      <c r="G22" s="81">
        <v>0.29</v>
      </c>
      <c r="H22" s="82">
        <f t="shared" si="0"/>
        <v>25522</v>
      </c>
    </row>
    <row r="23" spans="1:8" ht="36.75" customHeight="1">
      <c r="A23" s="79"/>
      <c r="B23" s="249" t="s">
        <v>156</v>
      </c>
      <c r="C23" s="249"/>
      <c r="D23" s="249"/>
      <c r="E23" s="102" t="s">
        <v>9</v>
      </c>
      <c r="F23" s="83" t="s">
        <v>82</v>
      </c>
      <c r="G23" s="81">
        <v>0</v>
      </c>
      <c r="H23" s="82">
        <f t="shared" si="0"/>
        <v>0</v>
      </c>
    </row>
    <row r="24" spans="1:8" ht="25.5">
      <c r="A24" s="79"/>
      <c r="B24" s="250" t="s">
        <v>21</v>
      </c>
      <c r="C24" s="250"/>
      <c r="D24" s="250"/>
      <c r="E24" s="98" t="s">
        <v>35</v>
      </c>
      <c r="F24" s="83" t="s">
        <v>82</v>
      </c>
      <c r="G24" s="81">
        <v>1.45</v>
      </c>
      <c r="H24" s="82">
        <f t="shared" si="0"/>
        <v>127610</v>
      </c>
    </row>
    <row r="25" spans="1:8" ht="15.75">
      <c r="A25" s="23"/>
      <c r="B25" s="159" t="s">
        <v>157</v>
      </c>
      <c r="C25" s="228"/>
      <c r="D25" s="229"/>
      <c r="E25" s="102" t="s">
        <v>9</v>
      </c>
      <c r="F25" s="83"/>
      <c r="G25" s="81"/>
      <c r="H25" s="82"/>
    </row>
    <row r="26" spans="1:8" ht="31.5" customHeight="1">
      <c r="A26" s="23"/>
      <c r="B26" s="159" t="s">
        <v>158</v>
      </c>
      <c r="C26" s="228"/>
      <c r="D26" s="229"/>
      <c r="E26" s="98" t="s">
        <v>35</v>
      </c>
      <c r="F26" s="83"/>
      <c r="G26" s="81"/>
      <c r="H26" s="82"/>
    </row>
    <row r="27" spans="1:8" ht="15.75" customHeight="1">
      <c r="A27" s="79"/>
      <c r="B27" s="194"/>
      <c r="C27" s="195"/>
      <c r="D27" s="196"/>
      <c r="E27" s="98"/>
      <c r="F27" s="83"/>
      <c r="G27" s="81"/>
      <c r="H27" s="82"/>
    </row>
    <row r="28" spans="1:8" ht="15.75">
      <c r="A28" s="79"/>
      <c r="B28" s="194"/>
      <c r="C28" s="195"/>
      <c r="D28" s="196"/>
      <c r="E28" s="98"/>
      <c r="F28" s="83"/>
      <c r="G28" s="81"/>
      <c r="H28" s="82"/>
    </row>
    <row r="29" spans="1:8" ht="15.75">
      <c r="A29" s="79"/>
      <c r="B29" s="252" t="s">
        <v>30</v>
      </c>
      <c r="C29" s="253"/>
      <c r="D29" s="254"/>
      <c r="E29" s="14"/>
      <c r="F29" s="83"/>
      <c r="G29" s="21">
        <f>SUM(G12:G28)</f>
        <v>13.039999999999997</v>
      </c>
      <c r="H29" s="82">
        <f t="shared" si="0"/>
        <v>1147609</v>
      </c>
    </row>
    <row r="30" spans="1:8" ht="15.75">
      <c r="A30" s="74" t="s">
        <v>159</v>
      </c>
      <c r="B30" s="172" t="s">
        <v>192</v>
      </c>
      <c r="C30" s="173"/>
      <c r="D30" s="173"/>
      <c r="E30" s="174"/>
      <c r="F30" s="51" t="s">
        <v>138</v>
      </c>
      <c r="G30" s="24">
        <v>1.45</v>
      </c>
      <c r="H30" s="82">
        <f t="shared" si="0"/>
        <v>127610</v>
      </c>
    </row>
    <row r="31" spans="1:8" ht="15.75" customHeight="1">
      <c r="A31" s="74"/>
      <c r="B31" s="239" t="s">
        <v>193</v>
      </c>
      <c r="C31" s="239"/>
      <c r="D31" s="239"/>
      <c r="E31" s="239"/>
      <c r="F31" s="239"/>
      <c r="G31" s="21">
        <f>SUM(G29:G30)</f>
        <v>14.489999999999997</v>
      </c>
      <c r="H31" s="120">
        <f t="shared" si="0"/>
        <v>1275219</v>
      </c>
    </row>
    <row r="32" spans="1:8" ht="16.5" thickBot="1">
      <c r="A32" s="121">
        <v>3</v>
      </c>
      <c r="B32" s="240" t="s">
        <v>194</v>
      </c>
      <c r="C32" s="241"/>
      <c r="D32" s="242"/>
      <c r="E32" s="122"/>
      <c r="F32" s="123" t="s">
        <v>138</v>
      </c>
      <c r="G32" s="124">
        <v>0.76</v>
      </c>
      <c r="H32" s="125">
        <f>ROUND($E$2*G32*12,0)</f>
        <v>66885</v>
      </c>
    </row>
    <row r="33" spans="7:8" ht="15.75">
      <c r="G33" s="85"/>
      <c r="H33" s="86"/>
    </row>
    <row r="34" spans="1:8" ht="15.7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7">
    <mergeCell ref="B13:D13"/>
    <mergeCell ref="B14:D14"/>
    <mergeCell ref="B15:D15"/>
    <mergeCell ref="B29:D29"/>
    <mergeCell ref="B24:D24"/>
    <mergeCell ref="B25:D25"/>
    <mergeCell ref="B26:D26"/>
    <mergeCell ref="B27:D27"/>
    <mergeCell ref="B28:D28"/>
    <mergeCell ref="B20:D20"/>
    <mergeCell ref="B21:D21"/>
    <mergeCell ref="B22:D22"/>
    <mergeCell ref="B23:D23"/>
    <mergeCell ref="B16:D16"/>
    <mergeCell ref="B17:D17"/>
    <mergeCell ref="B18:D18"/>
    <mergeCell ref="B19:D19"/>
    <mergeCell ref="B30:E30"/>
    <mergeCell ref="B31:F31"/>
    <mergeCell ref="B32:D32"/>
    <mergeCell ref="A1:H1"/>
    <mergeCell ref="B6:D6"/>
    <mergeCell ref="B7:F7"/>
    <mergeCell ref="B12:D12"/>
    <mergeCell ref="B8:F8"/>
    <mergeCell ref="B9:F9"/>
    <mergeCell ref="B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1">
      <selection activeCell="B1" sqref="A1:IV16384"/>
    </sheetView>
  </sheetViews>
  <sheetFormatPr defaultColWidth="9.00390625" defaultRowHeight="15.75"/>
  <cols>
    <col min="1" max="1" width="6.625" style="0" customWidth="1"/>
    <col min="2" max="2" width="25.125" style="0" customWidth="1"/>
    <col min="3" max="3" width="3.75390625" style="0" customWidth="1"/>
    <col min="4" max="4" width="24.875" style="0" customWidth="1"/>
    <col min="5" max="5" width="16.875" style="0" customWidth="1"/>
    <col min="6" max="6" width="0.12890625" style="0" customWidth="1"/>
    <col min="7" max="7" width="10.12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98" t="s">
        <v>202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54" customHeight="1">
      <c r="A2" s="232" t="s">
        <v>203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7333.9</v>
      </c>
      <c r="F3" s="2"/>
      <c r="I3" s="87">
        <v>0</v>
      </c>
    </row>
    <row r="4" spans="2:9" ht="15.75">
      <c r="B4" s="3" t="s">
        <v>1</v>
      </c>
      <c r="C4" s="27">
        <v>9</v>
      </c>
      <c r="D4" s="2" t="s">
        <v>2</v>
      </c>
      <c r="E4" s="4">
        <v>144</v>
      </c>
      <c r="F4" s="2"/>
      <c r="I4" t="s">
        <v>101</v>
      </c>
    </row>
    <row r="5" spans="2:9" ht="15.75">
      <c r="B5" s="3" t="s">
        <v>3</v>
      </c>
      <c r="C5" s="4">
        <v>4</v>
      </c>
      <c r="D5" s="2" t="s">
        <v>4</v>
      </c>
      <c r="E5" s="2" t="s">
        <v>87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33" t="s">
        <v>141</v>
      </c>
      <c r="C7" s="234"/>
      <c r="D7" s="235"/>
      <c r="E7" s="11" t="s">
        <v>6</v>
      </c>
      <c r="F7" s="11" t="s">
        <v>7</v>
      </c>
      <c r="G7" s="33" t="s">
        <v>22</v>
      </c>
      <c r="H7" s="236" t="s">
        <v>142</v>
      </c>
      <c r="I7" s="237"/>
      <c r="J7" s="238"/>
    </row>
    <row r="8" spans="1:10" ht="15.75">
      <c r="A8" s="23">
        <v>1</v>
      </c>
      <c r="B8" s="223"/>
      <c r="C8" s="224"/>
      <c r="D8" s="224"/>
      <c r="E8" s="224"/>
      <c r="F8" s="225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223" t="s">
        <v>146</v>
      </c>
      <c r="C9" s="224"/>
      <c r="D9" s="224"/>
      <c r="E9" s="224"/>
      <c r="F9" s="225"/>
      <c r="G9" s="78"/>
      <c r="H9" s="78"/>
      <c r="I9" s="58"/>
      <c r="J9" s="91"/>
    </row>
    <row r="10" spans="1:10" ht="15.75" customHeight="1">
      <c r="A10" s="92"/>
      <c r="B10" s="231" t="s">
        <v>147</v>
      </c>
      <c r="C10" s="231"/>
      <c r="D10" s="231"/>
      <c r="E10" s="231"/>
      <c r="F10" s="231"/>
      <c r="G10" s="15"/>
      <c r="H10" s="93">
        <v>1218977.82</v>
      </c>
      <c r="I10" s="75"/>
      <c r="J10" s="94">
        <f>H10+I10</f>
        <v>1218977.82</v>
      </c>
    </row>
    <row r="11" spans="1:10" ht="15.75" customHeight="1">
      <c r="A11" s="92"/>
      <c r="B11" s="231" t="s">
        <v>148</v>
      </c>
      <c r="C11" s="231"/>
      <c r="D11" s="231"/>
      <c r="E11" s="231"/>
      <c r="F11" s="231"/>
      <c r="G11" s="15"/>
      <c r="H11" s="16">
        <v>47357.24</v>
      </c>
      <c r="I11" s="75"/>
      <c r="J11" s="94">
        <f>H11+I11</f>
        <v>47357.24</v>
      </c>
    </row>
    <row r="12" spans="1:10" ht="15.75" customHeight="1">
      <c r="A12" s="23"/>
      <c r="B12" s="231" t="s">
        <v>149</v>
      </c>
      <c r="C12" s="231"/>
      <c r="D12" s="231"/>
      <c r="E12" s="231"/>
      <c r="F12" s="231"/>
      <c r="G12" s="15"/>
      <c r="H12" s="93"/>
      <c r="I12" s="75">
        <v>0</v>
      </c>
      <c r="J12" s="94">
        <f>H12+I12</f>
        <v>0</v>
      </c>
    </row>
    <row r="13" spans="1:10" ht="15.75" customHeight="1">
      <c r="A13" s="23"/>
      <c r="B13" s="231" t="s">
        <v>150</v>
      </c>
      <c r="C13" s="231"/>
      <c r="D13" s="231"/>
      <c r="E13" s="231"/>
      <c r="F13" s="231"/>
      <c r="G13" s="15"/>
      <c r="H13" s="93">
        <v>0</v>
      </c>
      <c r="I13" s="95">
        <v>0</v>
      </c>
      <c r="J13" s="94">
        <f>H13+I13</f>
        <v>0</v>
      </c>
    </row>
    <row r="14" spans="1:10" ht="15.75" customHeight="1">
      <c r="A14" s="23"/>
      <c r="B14" s="213" t="s">
        <v>151</v>
      </c>
      <c r="C14" s="213"/>
      <c r="D14" s="213"/>
      <c r="E14" s="213"/>
      <c r="F14" s="213"/>
      <c r="G14" s="15"/>
      <c r="H14" s="96">
        <f>SUM(H10:H13)</f>
        <v>1266335.06</v>
      </c>
      <c r="I14" s="96">
        <f>SUM(I10:I13)</f>
        <v>0</v>
      </c>
      <c r="J14" s="96">
        <f>SUM(J10:J13)</f>
        <v>1266335.06</v>
      </c>
    </row>
    <row r="15" spans="1:10" ht="18.75" customHeight="1">
      <c r="A15" s="23">
        <v>2</v>
      </c>
      <c r="B15" s="215" t="s">
        <v>65</v>
      </c>
      <c r="C15" s="215"/>
      <c r="D15" s="215"/>
      <c r="E15" s="215"/>
      <c r="F15" s="215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30" t="s">
        <v>201</v>
      </c>
      <c r="C17" s="230"/>
      <c r="D17" s="230"/>
      <c r="E17" s="98" t="s">
        <v>32</v>
      </c>
      <c r="F17" s="80" t="s">
        <v>24</v>
      </c>
      <c r="G17" s="81">
        <v>1.22</v>
      </c>
      <c r="H17" s="99">
        <f>ROUND(G17*$E$3*12,2)</f>
        <v>107368.3</v>
      </c>
      <c r="I17" s="100">
        <f>$I$12*0.08</f>
        <v>0</v>
      </c>
      <c r="J17" s="101">
        <f>SUM(H17:I17)</f>
        <v>107368.3</v>
      </c>
    </row>
    <row r="18" spans="1:10" ht="36" customHeight="1">
      <c r="A18" s="23"/>
      <c r="B18" s="155" t="s">
        <v>17</v>
      </c>
      <c r="C18" s="155"/>
      <c r="D18" s="155"/>
      <c r="E18" s="98" t="s">
        <v>32</v>
      </c>
      <c r="F18" s="80" t="s">
        <v>19</v>
      </c>
      <c r="G18" s="81">
        <v>0.28</v>
      </c>
      <c r="H18" s="99">
        <f>ROUND(G18*$E$3*12,2)</f>
        <v>24641.9</v>
      </c>
      <c r="I18" s="100">
        <f>$I$12*0.02</f>
        <v>0</v>
      </c>
      <c r="J18" s="101">
        <f>SUM(H18:I18)</f>
        <v>24641.9</v>
      </c>
    </row>
    <row r="19" spans="1:10" ht="20.25" customHeight="1">
      <c r="A19" s="23"/>
      <c r="B19" s="157" t="s">
        <v>23</v>
      </c>
      <c r="C19" s="157"/>
      <c r="D19" s="157"/>
      <c r="E19" s="102" t="s">
        <v>153</v>
      </c>
      <c r="F19" s="83" t="s">
        <v>20</v>
      </c>
      <c r="G19" s="81">
        <v>0.99</v>
      </c>
      <c r="H19" s="99">
        <f>J19-I19</f>
        <v>105433.41</v>
      </c>
      <c r="I19" s="100">
        <f>$I$12*0.07</f>
        <v>0</v>
      </c>
      <c r="J19" s="103">
        <v>105433.41</v>
      </c>
    </row>
    <row r="20" spans="1:10" ht="20.25" customHeight="1">
      <c r="A20" s="26"/>
      <c r="B20" s="230" t="s">
        <v>31</v>
      </c>
      <c r="C20" s="230"/>
      <c r="D20" s="230"/>
      <c r="E20" s="104" t="s">
        <v>9</v>
      </c>
      <c r="F20" s="84" t="s">
        <v>10</v>
      </c>
      <c r="G20" s="81">
        <v>0.51</v>
      </c>
      <c r="H20" s="99">
        <f>ROUND(G20*$E$3*12,2)</f>
        <v>44883.47</v>
      </c>
      <c r="I20" s="100">
        <f>$I$12*0.04</f>
        <v>0</v>
      </c>
      <c r="J20" s="101">
        <f>SUM(H20:I20)</f>
        <v>44883.47</v>
      </c>
    </row>
    <row r="21" spans="1:10" ht="55.5" customHeight="1">
      <c r="A21" s="23"/>
      <c r="B21" s="157" t="s">
        <v>27</v>
      </c>
      <c r="C21" s="157"/>
      <c r="D21" s="157"/>
      <c r="E21" s="102" t="s">
        <v>154</v>
      </c>
      <c r="F21" s="83" t="s">
        <v>25</v>
      </c>
      <c r="G21" s="81">
        <v>0.12</v>
      </c>
      <c r="H21" s="99">
        <f>J21-I21</f>
        <v>5200.42</v>
      </c>
      <c r="I21" s="100">
        <f>$I$12*0.01</f>
        <v>0</v>
      </c>
      <c r="J21" s="103">
        <v>5200.42</v>
      </c>
    </row>
    <row r="22" spans="1:10" ht="20.25" customHeight="1">
      <c r="A22" s="26"/>
      <c r="B22" s="157" t="s">
        <v>11</v>
      </c>
      <c r="C22" s="157"/>
      <c r="D22" s="157"/>
      <c r="E22" s="102" t="s">
        <v>9</v>
      </c>
      <c r="F22" s="83" t="s">
        <v>12</v>
      </c>
      <c r="G22" s="81">
        <v>2.22</v>
      </c>
      <c r="H22" s="99">
        <f>J22-I22</f>
        <v>195375.096</v>
      </c>
      <c r="I22" s="100">
        <f>$I$12*0.15</f>
        <v>0</v>
      </c>
      <c r="J22" s="103">
        <f>G22*E3*12</f>
        <v>195375.096</v>
      </c>
    </row>
    <row r="23" spans="1:10" ht="31.5" customHeight="1">
      <c r="A23" s="26"/>
      <c r="B23" s="157" t="s">
        <v>26</v>
      </c>
      <c r="C23" s="158"/>
      <c r="D23" s="158"/>
      <c r="E23" s="105" t="s">
        <v>13</v>
      </c>
      <c r="F23" s="77" t="s">
        <v>14</v>
      </c>
      <c r="G23" s="81">
        <v>0.05</v>
      </c>
      <c r="H23" s="99">
        <f>J23-I23</f>
        <v>10301.84</v>
      </c>
      <c r="I23" s="100">
        <f>$I$12*0.003</f>
        <v>0</v>
      </c>
      <c r="J23" s="103">
        <v>10301.84</v>
      </c>
    </row>
    <row r="24" spans="1:10" ht="28.5" customHeight="1">
      <c r="A24" s="23"/>
      <c r="B24" s="157" t="s">
        <v>71</v>
      </c>
      <c r="C24" s="157"/>
      <c r="D24" s="157"/>
      <c r="E24" s="98" t="s">
        <v>35</v>
      </c>
      <c r="F24" s="46" t="s">
        <v>82</v>
      </c>
      <c r="G24" s="81">
        <v>2.15</v>
      </c>
      <c r="H24" s="99">
        <f aca="true" t="shared" si="0" ref="H24:H29">ROUND(G24*$E$3*12,2)</f>
        <v>189214.62</v>
      </c>
      <c r="I24" s="100">
        <f>$I$12*0.19</f>
        <v>0</v>
      </c>
      <c r="J24" s="101">
        <f aca="true" t="shared" si="1" ref="J24:J29">SUM(H24:I24)</f>
        <v>189214.62</v>
      </c>
    </row>
    <row r="25" spans="1:10" ht="26.25" customHeight="1">
      <c r="A25" s="23"/>
      <c r="B25" s="155" t="s">
        <v>15</v>
      </c>
      <c r="C25" s="155"/>
      <c r="D25" s="155"/>
      <c r="E25" s="98" t="s">
        <v>35</v>
      </c>
      <c r="F25" s="46" t="s">
        <v>82</v>
      </c>
      <c r="G25" s="81">
        <v>0.53</v>
      </c>
      <c r="H25" s="106">
        <f t="shared" si="0"/>
        <v>46643.6</v>
      </c>
      <c r="I25" s="100">
        <v>0</v>
      </c>
      <c r="J25" s="101">
        <f t="shared" si="1"/>
        <v>46643.6</v>
      </c>
    </row>
    <row r="26" spans="1:10" ht="30" customHeight="1">
      <c r="A26" s="23"/>
      <c r="B26" s="156" t="s">
        <v>36</v>
      </c>
      <c r="C26" s="195"/>
      <c r="D26" s="196"/>
      <c r="E26" s="98" t="s">
        <v>35</v>
      </c>
      <c r="F26" s="46" t="s">
        <v>82</v>
      </c>
      <c r="G26" s="48">
        <f>3.52-G27-G28</f>
        <v>3.23</v>
      </c>
      <c r="H26" s="106">
        <f t="shared" si="0"/>
        <v>284261.96</v>
      </c>
      <c r="I26" s="107">
        <f>$I$12*0.18</f>
        <v>0</v>
      </c>
      <c r="J26" s="101">
        <f t="shared" si="1"/>
        <v>284261.96</v>
      </c>
    </row>
    <row r="27" spans="1:10" ht="26.25" customHeight="1">
      <c r="A27" s="26"/>
      <c r="B27" s="157" t="s">
        <v>155</v>
      </c>
      <c r="C27" s="157"/>
      <c r="D27" s="157"/>
      <c r="E27" s="98" t="s">
        <v>35</v>
      </c>
      <c r="F27" s="46" t="s">
        <v>82</v>
      </c>
      <c r="G27" s="48">
        <v>0.29</v>
      </c>
      <c r="H27" s="106">
        <f t="shared" si="0"/>
        <v>25521.97</v>
      </c>
      <c r="I27" s="107">
        <f>$I$12*0.02</f>
        <v>0</v>
      </c>
      <c r="J27" s="101">
        <f t="shared" si="1"/>
        <v>25521.97</v>
      </c>
    </row>
    <row r="28" spans="1:10" ht="28.5" customHeight="1">
      <c r="A28" s="23"/>
      <c r="B28" s="157" t="s">
        <v>156</v>
      </c>
      <c r="C28" s="157"/>
      <c r="D28" s="157"/>
      <c r="E28" s="102" t="s">
        <v>9</v>
      </c>
      <c r="F28" s="46" t="s">
        <v>82</v>
      </c>
      <c r="G28" s="48">
        <v>0</v>
      </c>
      <c r="H28" s="106">
        <f t="shared" si="0"/>
        <v>0</v>
      </c>
      <c r="I28" s="107">
        <v>0</v>
      </c>
      <c r="J28" s="101">
        <f t="shared" si="1"/>
        <v>0</v>
      </c>
    </row>
    <row r="29" spans="1:10" ht="27" customHeight="1">
      <c r="A29" s="23"/>
      <c r="B29" s="158" t="s">
        <v>21</v>
      </c>
      <c r="C29" s="158"/>
      <c r="D29" s="158"/>
      <c r="E29" s="102" t="s">
        <v>35</v>
      </c>
      <c r="F29" s="46" t="s">
        <v>82</v>
      </c>
      <c r="G29" s="77">
        <v>1.45</v>
      </c>
      <c r="H29" s="99">
        <f t="shared" si="0"/>
        <v>127609.86</v>
      </c>
      <c r="I29" s="100">
        <f>$I$12*0.1</f>
        <v>0</v>
      </c>
      <c r="J29" s="101">
        <f t="shared" si="1"/>
        <v>127609.86</v>
      </c>
    </row>
    <row r="30" spans="1:10" ht="15.75">
      <c r="A30" s="23"/>
      <c r="B30" s="194"/>
      <c r="C30" s="195"/>
      <c r="D30" s="196"/>
      <c r="E30" s="102"/>
      <c r="F30" s="46"/>
      <c r="G30" s="77"/>
      <c r="H30" s="106"/>
      <c r="I30" s="95"/>
      <c r="J30" s="108"/>
    </row>
    <row r="31" spans="1:10" ht="15.75">
      <c r="A31" s="23"/>
      <c r="B31" s="194"/>
      <c r="C31" s="195"/>
      <c r="D31" s="196"/>
      <c r="E31" s="102"/>
      <c r="F31" s="46"/>
      <c r="G31" s="77"/>
      <c r="H31" s="106"/>
      <c r="I31" s="95"/>
      <c r="J31" s="108"/>
    </row>
    <row r="32" spans="1:10" ht="15.75">
      <c r="A32" s="23"/>
      <c r="B32" s="204" t="s">
        <v>30</v>
      </c>
      <c r="C32" s="204"/>
      <c r="D32" s="204"/>
      <c r="E32" s="14"/>
      <c r="F32" s="46"/>
      <c r="G32" s="21">
        <f>SUM(G17:G29)</f>
        <v>13.039999999999997</v>
      </c>
      <c r="H32" s="40">
        <f>SUM(H17:H31)</f>
        <v>1166456.4460000002</v>
      </c>
      <c r="I32" s="109">
        <f>SUM(I17:I31)</f>
        <v>0</v>
      </c>
      <c r="J32" s="40">
        <f>SUM(J17:J31)</f>
        <v>1166456.4460000002</v>
      </c>
    </row>
    <row r="33" spans="1:10" ht="21.75" customHeight="1">
      <c r="A33" s="23"/>
      <c r="B33" s="159" t="s">
        <v>157</v>
      </c>
      <c r="C33" s="228"/>
      <c r="D33" s="229"/>
      <c r="E33" s="102" t="s">
        <v>9</v>
      </c>
      <c r="F33" s="46"/>
      <c r="G33" s="77"/>
      <c r="H33" s="106"/>
      <c r="I33" s="95"/>
      <c r="J33" s="108"/>
    </row>
    <row r="34" spans="1:10" ht="27" customHeight="1">
      <c r="A34" s="23"/>
      <c r="B34" s="159" t="s">
        <v>158</v>
      </c>
      <c r="C34" s="228"/>
      <c r="D34" s="229"/>
      <c r="E34" s="98" t="s">
        <v>35</v>
      </c>
      <c r="F34" s="46"/>
      <c r="G34" s="77"/>
      <c r="H34" s="106"/>
      <c r="I34" s="95"/>
      <c r="J34" s="108"/>
    </row>
    <row r="35" spans="1:10" ht="15.75">
      <c r="A35" s="23"/>
      <c r="B35" s="194"/>
      <c r="C35" s="195"/>
      <c r="D35" s="196"/>
      <c r="E35" s="102"/>
      <c r="F35" s="46"/>
      <c r="G35" s="77"/>
      <c r="H35" s="106"/>
      <c r="I35" s="95"/>
      <c r="J35" s="108"/>
    </row>
    <row r="36" spans="1:10" ht="15" customHeight="1">
      <c r="A36" s="23" t="s">
        <v>159</v>
      </c>
      <c r="B36" s="172" t="s">
        <v>160</v>
      </c>
      <c r="C36" s="173"/>
      <c r="D36" s="173"/>
      <c r="E36" s="174"/>
      <c r="F36" s="46" t="s">
        <v>82</v>
      </c>
      <c r="G36" s="24">
        <f>H36/E3/12</f>
        <v>1.0266604398751007</v>
      </c>
      <c r="H36" s="28">
        <v>90353.1</v>
      </c>
      <c r="I36" s="110">
        <v>0</v>
      </c>
      <c r="J36" s="96">
        <f>SUM(H36:I36)</f>
        <v>90353.1</v>
      </c>
    </row>
    <row r="37" spans="1:10" ht="14.25" customHeight="1">
      <c r="A37" s="25"/>
      <c r="B37" s="175" t="s">
        <v>69</v>
      </c>
      <c r="C37" s="175"/>
      <c r="D37" s="175"/>
      <c r="E37" s="175"/>
      <c r="F37" s="175"/>
      <c r="G37" s="5">
        <f>SUM(G32:G36)</f>
        <v>14.066660439875099</v>
      </c>
      <c r="H37" s="41">
        <f>SUM(H32:H36)</f>
        <v>1256809.5460000003</v>
      </c>
      <c r="I37" s="111">
        <f>SUM(I32:I36)</f>
        <v>0</v>
      </c>
      <c r="J37" s="41">
        <f>SUM(J32:J36)</f>
        <v>1256809.5460000003</v>
      </c>
    </row>
    <row r="38" spans="1:10" ht="15.75">
      <c r="A38" s="23" t="s">
        <v>161</v>
      </c>
      <c r="B38" s="160" t="s">
        <v>162</v>
      </c>
      <c r="C38" s="160"/>
      <c r="D38" s="160"/>
      <c r="E38" s="160"/>
      <c r="F38" s="160"/>
      <c r="G38" s="112"/>
      <c r="H38" s="113">
        <v>0</v>
      </c>
      <c r="I38" s="113">
        <v>0</v>
      </c>
      <c r="J38" s="114">
        <f>SUM(H38:I38)</f>
        <v>0</v>
      </c>
    </row>
    <row r="39" spans="1:10" ht="15" customHeight="1">
      <c r="A39" s="25"/>
      <c r="B39" s="175" t="s">
        <v>163</v>
      </c>
      <c r="C39" s="175"/>
      <c r="D39" s="175"/>
      <c r="E39" s="175"/>
      <c r="F39" s="175"/>
      <c r="G39" s="5">
        <f>SUM(G37:G38)</f>
        <v>14.066660439875099</v>
      </c>
      <c r="H39" s="41">
        <f>SUM(H37:H38)</f>
        <v>1256809.5460000003</v>
      </c>
      <c r="I39" s="111">
        <f>SUM(I37:I38)</f>
        <v>0</v>
      </c>
      <c r="J39" s="41">
        <f>SUM(J37:J38)</f>
        <v>1256809.5460000003</v>
      </c>
    </row>
    <row r="40" spans="1:10" ht="15.75" customHeight="1">
      <c r="A40" s="23">
        <v>3</v>
      </c>
      <c r="B40" s="161" t="s">
        <v>204</v>
      </c>
      <c r="C40" s="162"/>
      <c r="D40" s="162"/>
      <c r="E40" s="162"/>
      <c r="F40" s="162"/>
      <c r="G40" s="154"/>
      <c r="H40" s="115">
        <f>H14-H39</f>
        <v>9525.513999999734</v>
      </c>
      <c r="I40" s="99">
        <f>I14-I39</f>
        <v>0</v>
      </c>
      <c r="J40" s="116">
        <f>J14-J39</f>
        <v>9525.513999999734</v>
      </c>
    </row>
    <row r="41" spans="2:6" ht="15.75">
      <c r="B41" s="34"/>
      <c r="F41" s="34"/>
    </row>
    <row r="42" spans="2:6" ht="15.75">
      <c r="B42" s="43" t="s">
        <v>78</v>
      </c>
      <c r="C42" s="43"/>
      <c r="D42" s="43"/>
      <c r="E42" s="34"/>
      <c r="F42" s="34"/>
    </row>
    <row r="43" spans="2:4" ht="15.75">
      <c r="B43" s="43"/>
      <c r="C43" s="43"/>
      <c r="D43" s="43"/>
    </row>
    <row r="44" spans="2:4" ht="15.75">
      <c r="B44" s="34" t="s">
        <v>205</v>
      </c>
      <c r="C44" s="47"/>
      <c r="D44" s="44"/>
    </row>
    <row r="45" spans="2:4" ht="15.75">
      <c r="B45" s="203" t="s">
        <v>88</v>
      </c>
      <c r="C45" s="203"/>
      <c r="D45" s="203"/>
    </row>
  </sheetData>
  <sheetProtection/>
  <mergeCells count="37">
    <mergeCell ref="B45:D45"/>
    <mergeCell ref="B36:E36"/>
    <mergeCell ref="B37:F37"/>
    <mergeCell ref="B35:D35"/>
    <mergeCell ref="B38:F38"/>
    <mergeCell ref="B39:F39"/>
    <mergeCell ref="B40:G40"/>
    <mergeCell ref="B29:D29"/>
    <mergeCell ref="B30:D30"/>
    <mergeCell ref="B33:D33"/>
    <mergeCell ref="B34:D34"/>
    <mergeCell ref="B19:D19"/>
    <mergeCell ref="B20:D20"/>
    <mergeCell ref="B31:D31"/>
    <mergeCell ref="B32:D32"/>
    <mergeCell ref="B23:D23"/>
    <mergeCell ref="B24:D24"/>
    <mergeCell ref="B25:D25"/>
    <mergeCell ref="B26:D26"/>
    <mergeCell ref="B27:D2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8:F8"/>
    <mergeCell ref="B9:F9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6" sqref="E6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00390625" style="0" customWidth="1"/>
    <col min="6" max="6" width="0.12890625" style="0" customWidth="1"/>
    <col min="7" max="7" width="8.875" style="0" customWidth="1"/>
    <col min="8" max="8" width="14.125" style="0" customWidth="1"/>
    <col min="9" max="9" width="9.875" style="0" bestFit="1" customWidth="1"/>
  </cols>
  <sheetData>
    <row r="1" spans="1:8" ht="121.5" customHeight="1">
      <c r="A1" s="198" t="s">
        <v>206</v>
      </c>
      <c r="B1" s="198"/>
      <c r="C1" s="198"/>
      <c r="D1" s="198"/>
      <c r="E1" s="198"/>
      <c r="F1" s="198"/>
      <c r="G1" s="198"/>
      <c r="H1" s="198"/>
    </row>
    <row r="2" spans="1:6" ht="18.75">
      <c r="A2" s="1" t="s">
        <v>77</v>
      </c>
      <c r="B2" s="1" t="s">
        <v>85</v>
      </c>
      <c r="C2" s="2"/>
      <c r="D2" s="2" t="s">
        <v>0</v>
      </c>
      <c r="E2" s="4">
        <v>7333.9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87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43" t="s">
        <v>141</v>
      </c>
      <c r="C6" s="244"/>
      <c r="D6" s="245"/>
      <c r="E6" s="73" t="s">
        <v>6</v>
      </c>
      <c r="F6" s="73" t="s">
        <v>7</v>
      </c>
      <c r="G6" s="118" t="s">
        <v>189</v>
      </c>
      <c r="H6" s="119" t="s">
        <v>133</v>
      </c>
    </row>
    <row r="7" spans="1:8" ht="15.75" customHeight="1">
      <c r="A7" s="74">
        <v>1</v>
      </c>
      <c r="B7" s="246" t="s">
        <v>134</v>
      </c>
      <c r="C7" s="246"/>
      <c r="D7" s="246"/>
      <c r="E7" s="246"/>
      <c r="F7" s="246"/>
      <c r="G7" s="75"/>
      <c r="H7" s="76"/>
    </row>
    <row r="8" spans="1:8" ht="15.75" customHeight="1">
      <c r="A8" s="74"/>
      <c r="B8" s="213" t="s">
        <v>190</v>
      </c>
      <c r="C8" s="213"/>
      <c r="D8" s="213"/>
      <c r="E8" s="213"/>
      <c r="F8" s="213"/>
      <c r="G8" s="24">
        <f>G31</f>
        <v>14.920000000000002</v>
      </c>
      <c r="H8" s="76">
        <f>ROUND($E$2*G8*12,0)</f>
        <v>1313061</v>
      </c>
    </row>
    <row r="9" spans="1:8" ht="15.75" customHeight="1">
      <c r="A9" s="74"/>
      <c r="B9" s="248" t="s">
        <v>135</v>
      </c>
      <c r="C9" s="248"/>
      <c r="D9" s="248"/>
      <c r="E9" s="248"/>
      <c r="F9" s="248"/>
      <c r="G9" s="23">
        <v>0.78</v>
      </c>
      <c r="H9" s="76">
        <f>ROUND($E$2*G9*12,0)</f>
        <v>68645</v>
      </c>
    </row>
    <row r="10" spans="1:8" ht="15.75" customHeight="1">
      <c r="A10" s="74">
        <v>2</v>
      </c>
      <c r="B10" s="215" t="s">
        <v>65</v>
      </c>
      <c r="C10" s="215"/>
      <c r="D10" s="215"/>
      <c r="E10" s="215"/>
      <c r="F10" s="215"/>
      <c r="G10" s="77"/>
      <c r="H10" s="76"/>
    </row>
    <row r="11" spans="1:8" ht="18.75" customHeight="1">
      <c r="A11" s="74" t="s">
        <v>152</v>
      </c>
      <c r="B11" s="19" t="s">
        <v>66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47" t="s">
        <v>207</v>
      </c>
      <c r="C12" s="247"/>
      <c r="D12" s="247"/>
      <c r="E12" s="98" t="s">
        <v>32</v>
      </c>
      <c r="F12" s="80" t="s">
        <v>24</v>
      </c>
      <c r="G12" s="81">
        <v>1.26</v>
      </c>
      <c r="H12" s="82">
        <f aca="true" t="shared" si="0" ref="H12:H31">ROUND($E$2*G12*12,0)</f>
        <v>110889</v>
      </c>
    </row>
    <row r="13" spans="1:9" ht="15.75" customHeight="1">
      <c r="A13" s="79"/>
      <c r="B13" s="247" t="s">
        <v>17</v>
      </c>
      <c r="C13" s="247"/>
      <c r="D13" s="247"/>
      <c r="E13" s="98" t="s">
        <v>32</v>
      </c>
      <c r="F13" s="80" t="s">
        <v>19</v>
      </c>
      <c r="G13" s="81">
        <v>0.29</v>
      </c>
      <c r="H13" s="82">
        <f t="shared" si="0"/>
        <v>25522</v>
      </c>
      <c r="I13" s="31"/>
    </row>
    <row r="14" spans="1:8" ht="18.75" customHeight="1">
      <c r="A14" s="79"/>
      <c r="B14" s="249" t="s">
        <v>23</v>
      </c>
      <c r="C14" s="249"/>
      <c r="D14" s="249"/>
      <c r="E14" s="102" t="s">
        <v>153</v>
      </c>
      <c r="F14" s="83" t="s">
        <v>20</v>
      </c>
      <c r="G14" s="81">
        <v>1.02</v>
      </c>
      <c r="H14" s="82">
        <f t="shared" si="0"/>
        <v>89767</v>
      </c>
    </row>
    <row r="15" spans="1:8" ht="15.75" customHeight="1">
      <c r="A15" s="79"/>
      <c r="B15" s="251" t="s">
        <v>31</v>
      </c>
      <c r="C15" s="251"/>
      <c r="D15" s="251"/>
      <c r="E15" s="104" t="s">
        <v>9</v>
      </c>
      <c r="F15" s="84" t="s">
        <v>10</v>
      </c>
      <c r="G15" s="81">
        <v>0.53</v>
      </c>
      <c r="H15" s="82">
        <f t="shared" si="0"/>
        <v>46644</v>
      </c>
    </row>
    <row r="16" spans="1:8" ht="31.5" customHeight="1">
      <c r="A16" s="79"/>
      <c r="B16" s="249" t="s">
        <v>27</v>
      </c>
      <c r="C16" s="249"/>
      <c r="D16" s="249"/>
      <c r="E16" s="102" t="s">
        <v>154</v>
      </c>
      <c r="F16" s="83" t="s">
        <v>25</v>
      </c>
      <c r="G16" s="81">
        <v>0.12</v>
      </c>
      <c r="H16" s="82">
        <f t="shared" si="0"/>
        <v>10561</v>
      </c>
    </row>
    <row r="17" spans="1:8" ht="15.75" customHeight="1">
      <c r="A17" s="79"/>
      <c r="B17" s="249" t="s">
        <v>11</v>
      </c>
      <c r="C17" s="249"/>
      <c r="D17" s="249"/>
      <c r="E17" s="102" t="s">
        <v>9</v>
      </c>
      <c r="F17" s="83" t="s">
        <v>12</v>
      </c>
      <c r="G17" s="81">
        <v>2.29</v>
      </c>
      <c r="H17" s="82">
        <f t="shared" si="0"/>
        <v>201536</v>
      </c>
    </row>
    <row r="18" spans="1:8" ht="15.75" customHeight="1">
      <c r="A18" s="79"/>
      <c r="B18" s="249" t="s">
        <v>26</v>
      </c>
      <c r="C18" s="250"/>
      <c r="D18" s="250"/>
      <c r="E18" s="105" t="s">
        <v>13</v>
      </c>
      <c r="F18" s="77" t="s">
        <v>136</v>
      </c>
      <c r="G18" s="81">
        <v>0.05</v>
      </c>
      <c r="H18" s="82">
        <f t="shared" si="0"/>
        <v>4400</v>
      </c>
    </row>
    <row r="19" spans="1:8" ht="33" customHeight="1">
      <c r="A19" s="79"/>
      <c r="B19" s="249" t="s">
        <v>71</v>
      </c>
      <c r="C19" s="249"/>
      <c r="D19" s="249"/>
      <c r="E19" s="98" t="s">
        <v>35</v>
      </c>
      <c r="F19" s="83" t="s">
        <v>82</v>
      </c>
      <c r="G19" s="81">
        <v>2.21</v>
      </c>
      <c r="H19" s="82">
        <f t="shared" si="0"/>
        <v>194495</v>
      </c>
    </row>
    <row r="20" spans="1:8" ht="74.25" customHeight="1">
      <c r="A20" s="79"/>
      <c r="B20" s="247" t="s">
        <v>15</v>
      </c>
      <c r="C20" s="247"/>
      <c r="D20" s="247"/>
      <c r="E20" s="98" t="s">
        <v>137</v>
      </c>
      <c r="F20" s="83" t="s">
        <v>82</v>
      </c>
      <c r="G20" s="81">
        <v>0.55</v>
      </c>
      <c r="H20" s="82">
        <f t="shared" si="0"/>
        <v>48404</v>
      </c>
    </row>
    <row r="21" spans="1:8" ht="90" customHeight="1">
      <c r="A21" s="79"/>
      <c r="B21" s="249" t="s">
        <v>36</v>
      </c>
      <c r="C21" s="250"/>
      <c r="D21" s="250"/>
      <c r="E21" s="98" t="s">
        <v>35</v>
      </c>
      <c r="F21" s="83" t="s">
        <v>82</v>
      </c>
      <c r="G21" s="81">
        <f>3.62-G22-G23</f>
        <v>3.3200000000000003</v>
      </c>
      <c r="H21" s="82">
        <f t="shared" si="0"/>
        <v>292183</v>
      </c>
    </row>
    <row r="22" spans="1:8" ht="15.75" customHeight="1">
      <c r="A22" s="79"/>
      <c r="B22" s="249" t="s">
        <v>191</v>
      </c>
      <c r="C22" s="249"/>
      <c r="D22" s="249"/>
      <c r="E22" s="102" t="s">
        <v>9</v>
      </c>
      <c r="F22" s="83" t="s">
        <v>82</v>
      </c>
      <c r="G22" s="81">
        <v>0.3</v>
      </c>
      <c r="H22" s="82">
        <f t="shared" si="0"/>
        <v>26402</v>
      </c>
    </row>
    <row r="23" spans="1:8" ht="36.75" customHeight="1">
      <c r="A23" s="79"/>
      <c r="B23" s="249" t="s">
        <v>156</v>
      </c>
      <c r="C23" s="249"/>
      <c r="D23" s="249"/>
      <c r="E23" s="102" t="s">
        <v>9</v>
      </c>
      <c r="F23" s="83" t="s">
        <v>82</v>
      </c>
      <c r="G23" s="81">
        <v>0</v>
      </c>
      <c r="H23" s="82">
        <f t="shared" si="0"/>
        <v>0</v>
      </c>
    </row>
    <row r="24" spans="1:8" ht="173.25">
      <c r="A24" s="79"/>
      <c r="B24" s="250" t="s">
        <v>21</v>
      </c>
      <c r="C24" s="250"/>
      <c r="D24" s="250"/>
      <c r="E24" s="98" t="s">
        <v>35</v>
      </c>
      <c r="F24" s="83" t="s">
        <v>82</v>
      </c>
      <c r="G24" s="81">
        <v>1.49</v>
      </c>
      <c r="H24" s="82">
        <f t="shared" si="0"/>
        <v>131130</v>
      </c>
    </row>
    <row r="25" spans="1:8" ht="15.75">
      <c r="A25" s="23"/>
      <c r="B25" s="159" t="s">
        <v>157</v>
      </c>
      <c r="C25" s="228"/>
      <c r="D25" s="229"/>
      <c r="E25" s="102" t="s">
        <v>9</v>
      </c>
      <c r="F25" s="83"/>
      <c r="G25" s="81"/>
      <c r="H25" s="82"/>
    </row>
    <row r="26" spans="1:8" ht="31.5" customHeight="1">
      <c r="A26" s="23"/>
      <c r="B26" s="159" t="s">
        <v>158</v>
      </c>
      <c r="C26" s="228"/>
      <c r="D26" s="229"/>
      <c r="E26" s="98" t="s">
        <v>35</v>
      </c>
      <c r="F26" s="83"/>
      <c r="G26" s="81"/>
      <c r="H26" s="82"/>
    </row>
    <row r="27" spans="1:8" ht="15.75" customHeight="1">
      <c r="A27" s="79"/>
      <c r="B27" s="194"/>
      <c r="C27" s="195"/>
      <c r="D27" s="196"/>
      <c r="E27" s="98"/>
      <c r="F27" s="83"/>
      <c r="G27" s="81"/>
      <c r="H27" s="82"/>
    </row>
    <row r="28" spans="1:8" ht="15.75">
      <c r="A28" s="79"/>
      <c r="B28" s="194"/>
      <c r="C28" s="195"/>
      <c r="D28" s="196"/>
      <c r="E28" s="98"/>
      <c r="F28" s="83"/>
      <c r="G28" s="81"/>
      <c r="H28" s="82"/>
    </row>
    <row r="29" spans="1:8" ht="15.75">
      <c r="A29" s="79"/>
      <c r="B29" s="252" t="s">
        <v>30</v>
      </c>
      <c r="C29" s="253"/>
      <c r="D29" s="254"/>
      <c r="E29" s="14"/>
      <c r="F29" s="83"/>
      <c r="G29" s="21">
        <f>SUM(G12:G28)</f>
        <v>13.430000000000001</v>
      </c>
      <c r="H29" s="82">
        <f t="shared" si="0"/>
        <v>1181931</v>
      </c>
    </row>
    <row r="30" spans="1:8" ht="173.25">
      <c r="A30" s="74" t="s">
        <v>159</v>
      </c>
      <c r="B30" s="172" t="s">
        <v>208</v>
      </c>
      <c r="C30" s="173"/>
      <c r="D30" s="173"/>
      <c r="E30" s="174"/>
      <c r="F30" s="51" t="s">
        <v>138</v>
      </c>
      <c r="G30" s="24">
        <v>1.49</v>
      </c>
      <c r="H30" s="82">
        <v>15000</v>
      </c>
    </row>
    <row r="31" spans="1:8" ht="15.75" customHeight="1">
      <c r="A31" s="74"/>
      <c r="B31" s="239" t="s">
        <v>193</v>
      </c>
      <c r="C31" s="239"/>
      <c r="D31" s="239"/>
      <c r="E31" s="239"/>
      <c r="F31" s="239"/>
      <c r="G31" s="21">
        <f>SUM(G29:G30)</f>
        <v>14.920000000000002</v>
      </c>
      <c r="H31" s="120">
        <f t="shared" si="0"/>
        <v>1313061</v>
      </c>
    </row>
    <row r="32" spans="1:8" ht="174" thickBot="1">
      <c r="A32" s="121">
        <v>3</v>
      </c>
      <c r="B32" s="240" t="s">
        <v>209</v>
      </c>
      <c r="C32" s="241"/>
      <c r="D32" s="242"/>
      <c r="E32" s="122"/>
      <c r="F32" s="123" t="s">
        <v>138</v>
      </c>
      <c r="G32" s="124">
        <v>0.78</v>
      </c>
      <c r="H32" s="125">
        <f>ROUND($E$2*G32*12,0)</f>
        <v>68645</v>
      </c>
    </row>
    <row r="33" spans="2:8" ht="47.25" customHeight="1">
      <c r="B33" s="255" t="s">
        <v>210</v>
      </c>
      <c r="C33" s="255"/>
      <c r="D33" s="255"/>
      <c r="E33" s="255"/>
      <c r="G33" s="85"/>
      <c r="H33" s="86"/>
    </row>
    <row r="34" spans="1:8" ht="33" customHeight="1">
      <c r="A34" s="43" t="s">
        <v>78</v>
      </c>
      <c r="B34" s="43"/>
      <c r="C34" s="43"/>
      <c r="D34" s="34"/>
      <c r="G34" s="85"/>
      <c r="H34" s="86"/>
    </row>
  </sheetData>
  <sheetProtection/>
  <mergeCells count="28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3:E33"/>
    <mergeCell ref="B30:E30"/>
    <mergeCell ref="B31:F31"/>
    <mergeCell ref="B32:D32"/>
  </mergeCells>
  <printOptions/>
  <pageMargins left="0.35433070866141736" right="0" top="0" bottom="0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5">
      <selection activeCell="G19" sqref="G19:G31"/>
    </sheetView>
  </sheetViews>
  <sheetFormatPr defaultColWidth="9.00390625" defaultRowHeight="15.75"/>
  <cols>
    <col min="1" max="1" width="7.50390625" style="0" customWidth="1"/>
    <col min="2" max="2" width="27.125" style="0" customWidth="1"/>
    <col min="3" max="3" width="3.00390625" style="0" customWidth="1"/>
    <col min="4" max="4" width="20.875" style="0" customWidth="1"/>
    <col min="5" max="5" width="15.25390625" style="0" customWidth="1"/>
    <col min="6" max="6" width="0" style="0" hidden="1" customWidth="1"/>
    <col min="8" max="8" width="10.75390625" style="0" customWidth="1"/>
  </cols>
  <sheetData>
    <row r="1" spans="1:8" ht="68.25" customHeight="1">
      <c r="A1" s="126"/>
      <c r="B1" s="126"/>
      <c r="C1" s="126"/>
      <c r="D1" s="258" t="s">
        <v>211</v>
      </c>
      <c r="E1" s="258"/>
      <c r="F1" s="258"/>
      <c r="G1" s="258"/>
      <c r="H1" s="258"/>
    </row>
    <row r="2" spans="1:8" ht="15" customHeight="1">
      <c r="A2" s="126"/>
      <c r="B2" s="126"/>
      <c r="C2" s="126"/>
      <c r="D2" s="127"/>
      <c r="E2" s="127"/>
      <c r="F2" s="127"/>
      <c r="G2" s="127"/>
      <c r="H2" s="127"/>
    </row>
    <row r="3" spans="1:8" ht="16.5" customHeight="1">
      <c r="A3" s="126"/>
      <c r="B3" s="126"/>
      <c r="C3" s="126"/>
      <c r="D3" s="127"/>
      <c r="E3" s="127"/>
      <c r="F3" s="127"/>
      <c r="G3" s="127"/>
      <c r="H3" s="127"/>
    </row>
    <row r="4" spans="1:8" ht="16.5" customHeight="1">
      <c r="A4" s="259" t="s">
        <v>212</v>
      </c>
      <c r="B4" s="259"/>
      <c r="C4" s="259"/>
      <c r="D4" s="259"/>
      <c r="E4" s="259"/>
      <c r="F4" s="259"/>
      <c r="G4" s="259"/>
      <c r="H4" s="127"/>
    </row>
    <row r="5" spans="1:8" ht="16.5" customHeight="1">
      <c r="A5" s="128"/>
      <c r="B5" s="128"/>
      <c r="C5" s="128"/>
      <c r="D5" s="128"/>
      <c r="E5" s="128"/>
      <c r="F5" s="128"/>
      <c r="G5" s="128"/>
      <c r="H5" s="127"/>
    </row>
    <row r="6" spans="1:8" ht="16.5" customHeight="1">
      <c r="A6" s="129"/>
      <c r="B6" s="260" t="s">
        <v>219</v>
      </c>
      <c r="C6" s="260"/>
      <c r="D6" s="260"/>
      <c r="E6" s="260"/>
      <c r="F6" s="260"/>
      <c r="G6" s="260"/>
      <c r="H6" s="127"/>
    </row>
    <row r="7" spans="1:8" ht="16.5" customHeight="1">
      <c r="A7" s="129"/>
      <c r="B7" s="130"/>
      <c r="C7" s="130"/>
      <c r="D7" s="130"/>
      <c r="E7" s="130"/>
      <c r="F7" s="130"/>
      <c r="G7" s="130"/>
      <c r="H7" s="127"/>
    </row>
    <row r="8" spans="1:6" ht="18.75">
      <c r="A8" s="1" t="s">
        <v>77</v>
      </c>
      <c r="B8" s="1" t="s">
        <v>85</v>
      </c>
      <c r="C8" s="2"/>
      <c r="D8" s="2" t="s">
        <v>0</v>
      </c>
      <c r="E8" s="4">
        <v>7417.6</v>
      </c>
      <c r="F8" s="2"/>
    </row>
    <row r="9" spans="2:6" ht="15.75">
      <c r="B9" s="3" t="s">
        <v>1</v>
      </c>
      <c r="C9" s="27">
        <v>9</v>
      </c>
      <c r="D9" s="2" t="s">
        <v>2</v>
      </c>
      <c r="E9" s="4">
        <v>144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87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05" customHeight="1">
      <c r="A12" s="117" t="s">
        <v>60</v>
      </c>
      <c r="B12" s="243" t="s">
        <v>141</v>
      </c>
      <c r="C12" s="244"/>
      <c r="D12" s="245"/>
      <c r="E12" s="73" t="s">
        <v>6</v>
      </c>
      <c r="F12" s="73" t="s">
        <v>7</v>
      </c>
      <c r="G12" s="139" t="s">
        <v>214</v>
      </c>
      <c r="H12" s="140" t="s">
        <v>220</v>
      </c>
    </row>
    <row r="13" spans="1:8" ht="24.75" customHeight="1">
      <c r="A13" s="131">
        <v>1</v>
      </c>
      <c r="B13" s="233">
        <v>2</v>
      </c>
      <c r="C13" s="234"/>
      <c r="D13" s="235"/>
      <c r="E13" s="132">
        <v>3</v>
      </c>
      <c r="F13" s="132"/>
      <c r="G13" s="138">
        <v>4</v>
      </c>
      <c r="H13" s="133" t="s">
        <v>213</v>
      </c>
    </row>
    <row r="14" spans="1:8" ht="15.75" hidden="1">
      <c r="A14" s="74">
        <v>1</v>
      </c>
      <c r="B14" s="246" t="s">
        <v>134</v>
      </c>
      <c r="C14" s="246"/>
      <c r="D14" s="246"/>
      <c r="E14" s="246"/>
      <c r="F14" s="246"/>
      <c r="G14" s="75"/>
      <c r="H14" s="76"/>
    </row>
    <row r="15" spans="1:8" ht="15.75" hidden="1">
      <c r="A15" s="74"/>
      <c r="B15" s="213" t="s">
        <v>190</v>
      </c>
      <c r="C15" s="213"/>
      <c r="D15" s="213"/>
      <c r="E15" s="213"/>
      <c r="F15" s="213"/>
      <c r="G15" s="24">
        <f>G38</f>
        <v>15.36</v>
      </c>
      <c r="H15" s="76">
        <f>ROUND($E$8*G15*12,0)</f>
        <v>1367212</v>
      </c>
    </row>
    <row r="16" spans="1:8" ht="15.75" hidden="1">
      <c r="A16" s="74"/>
      <c r="B16" s="248" t="s">
        <v>135</v>
      </c>
      <c r="C16" s="248"/>
      <c r="D16" s="248"/>
      <c r="E16" s="248"/>
      <c r="F16" s="248"/>
      <c r="G16" s="23">
        <v>0.78</v>
      </c>
      <c r="H16" s="76">
        <f>ROUND($E$8*G16*12,0)</f>
        <v>69429</v>
      </c>
    </row>
    <row r="17" spans="1:8" ht="18.75">
      <c r="A17" s="74">
        <v>1</v>
      </c>
      <c r="B17" s="215" t="s">
        <v>65</v>
      </c>
      <c r="C17" s="215"/>
      <c r="D17" s="215"/>
      <c r="E17" s="215"/>
      <c r="F17" s="215"/>
      <c r="G17" s="77"/>
      <c r="H17" s="76"/>
    </row>
    <row r="18" spans="1:8" ht="15.75">
      <c r="A18" s="74" t="s">
        <v>221</v>
      </c>
      <c r="B18" s="19" t="s">
        <v>66</v>
      </c>
      <c r="C18" s="19"/>
      <c r="D18" s="19"/>
      <c r="E18" s="19"/>
      <c r="F18" s="5"/>
      <c r="G18" s="78"/>
      <c r="H18" s="76"/>
    </row>
    <row r="19" spans="1:8" ht="27.75" customHeight="1">
      <c r="A19" s="79"/>
      <c r="B19" s="247" t="s">
        <v>207</v>
      </c>
      <c r="C19" s="247"/>
      <c r="D19" s="247"/>
      <c r="E19" s="98" t="s">
        <v>32</v>
      </c>
      <c r="F19" s="80" t="s">
        <v>24</v>
      </c>
      <c r="G19" s="81">
        <v>1.29</v>
      </c>
      <c r="H19" s="82">
        <f aca="true" t="shared" si="0" ref="H19:H31">ROUND($E$8*G19*1,0)</f>
        <v>9569</v>
      </c>
    </row>
    <row r="20" spans="1:8" ht="15.75" customHeight="1">
      <c r="A20" s="79"/>
      <c r="B20" s="247" t="s">
        <v>17</v>
      </c>
      <c r="C20" s="247"/>
      <c r="D20" s="247"/>
      <c r="E20" s="98" t="s">
        <v>32</v>
      </c>
      <c r="F20" s="80" t="s">
        <v>19</v>
      </c>
      <c r="G20" s="81">
        <v>0.3</v>
      </c>
      <c r="H20" s="82">
        <f t="shared" si="0"/>
        <v>2225</v>
      </c>
    </row>
    <row r="21" spans="1:8" ht="16.5" customHeight="1">
      <c r="A21" s="79"/>
      <c r="B21" s="249" t="s">
        <v>23</v>
      </c>
      <c r="C21" s="249"/>
      <c r="D21" s="249"/>
      <c r="E21" s="102" t="s">
        <v>153</v>
      </c>
      <c r="F21" s="83" t="s">
        <v>20</v>
      </c>
      <c r="G21" s="81">
        <v>1.05</v>
      </c>
      <c r="H21" s="82">
        <f t="shared" si="0"/>
        <v>7788</v>
      </c>
    </row>
    <row r="22" spans="1:8" ht="15.75" customHeight="1">
      <c r="A22" s="79"/>
      <c r="B22" s="251" t="s">
        <v>31</v>
      </c>
      <c r="C22" s="251"/>
      <c r="D22" s="251"/>
      <c r="E22" s="104" t="s">
        <v>9</v>
      </c>
      <c r="F22" s="84" t="s">
        <v>10</v>
      </c>
      <c r="G22" s="81">
        <v>0.54</v>
      </c>
      <c r="H22" s="82">
        <f t="shared" si="0"/>
        <v>4006</v>
      </c>
    </row>
    <row r="23" spans="1:8" ht="63.75" customHeight="1">
      <c r="A23" s="79"/>
      <c r="B23" s="249" t="s">
        <v>27</v>
      </c>
      <c r="C23" s="249"/>
      <c r="D23" s="249"/>
      <c r="E23" s="102" t="s">
        <v>154</v>
      </c>
      <c r="F23" s="83" t="s">
        <v>25</v>
      </c>
      <c r="G23" s="81">
        <v>0.13</v>
      </c>
      <c r="H23" s="82">
        <f t="shared" si="0"/>
        <v>964</v>
      </c>
    </row>
    <row r="24" spans="1:8" ht="15.75" customHeight="1">
      <c r="A24" s="79"/>
      <c r="B24" s="249" t="s">
        <v>11</v>
      </c>
      <c r="C24" s="249"/>
      <c r="D24" s="249"/>
      <c r="E24" s="102" t="s">
        <v>9</v>
      </c>
      <c r="F24" s="83" t="s">
        <v>12</v>
      </c>
      <c r="G24" s="81">
        <v>2.35</v>
      </c>
      <c r="H24" s="82">
        <f t="shared" si="0"/>
        <v>17431</v>
      </c>
    </row>
    <row r="25" spans="1:8" ht="15.75">
      <c r="A25" s="79"/>
      <c r="B25" s="249" t="s">
        <v>26</v>
      </c>
      <c r="C25" s="250"/>
      <c r="D25" s="250"/>
      <c r="E25" s="105" t="s">
        <v>13</v>
      </c>
      <c r="F25" s="77" t="s">
        <v>136</v>
      </c>
      <c r="G25" s="81">
        <v>0.05</v>
      </c>
      <c r="H25" s="82">
        <f t="shared" si="0"/>
        <v>371</v>
      </c>
    </row>
    <row r="26" spans="1:8" ht="51" customHeight="1">
      <c r="A26" s="79"/>
      <c r="B26" s="249" t="s">
        <v>71</v>
      </c>
      <c r="C26" s="249"/>
      <c r="D26" s="249"/>
      <c r="E26" s="98" t="s">
        <v>215</v>
      </c>
      <c r="F26" s="83" t="s">
        <v>82</v>
      </c>
      <c r="G26" s="81">
        <v>1.63</v>
      </c>
      <c r="H26" s="82">
        <f t="shared" si="0"/>
        <v>12091</v>
      </c>
    </row>
    <row r="27" spans="1:8" ht="54" customHeight="1">
      <c r="A27" s="79"/>
      <c r="B27" s="247" t="s">
        <v>15</v>
      </c>
      <c r="C27" s="247"/>
      <c r="D27" s="247"/>
      <c r="E27" s="98" t="s">
        <v>137</v>
      </c>
      <c r="F27" s="83" t="s">
        <v>82</v>
      </c>
      <c r="G27" s="81">
        <v>0.56</v>
      </c>
      <c r="H27" s="82">
        <f t="shared" si="0"/>
        <v>4154</v>
      </c>
    </row>
    <row r="28" spans="1:8" ht="29.25" customHeight="1">
      <c r="A28" s="79"/>
      <c r="B28" s="249" t="s">
        <v>36</v>
      </c>
      <c r="C28" s="250"/>
      <c r="D28" s="250"/>
      <c r="E28" s="98" t="s">
        <v>35</v>
      </c>
      <c r="F28" s="83" t="s">
        <v>82</v>
      </c>
      <c r="G28" s="81">
        <f>4.38-G29-G30</f>
        <v>4.07</v>
      </c>
      <c r="H28" s="82">
        <f t="shared" si="0"/>
        <v>30190</v>
      </c>
    </row>
    <row r="29" spans="1:8" ht="16.5" customHeight="1">
      <c r="A29" s="79"/>
      <c r="B29" s="249" t="s">
        <v>191</v>
      </c>
      <c r="C29" s="249"/>
      <c r="D29" s="249"/>
      <c r="E29" s="102" t="s">
        <v>9</v>
      </c>
      <c r="F29" s="83" t="s">
        <v>82</v>
      </c>
      <c r="G29" s="81">
        <v>0.31</v>
      </c>
      <c r="H29" s="82">
        <f t="shared" si="0"/>
        <v>2299</v>
      </c>
    </row>
    <row r="30" spans="1:8" ht="18.75" customHeight="1">
      <c r="A30" s="79"/>
      <c r="B30" s="249" t="s">
        <v>156</v>
      </c>
      <c r="C30" s="249"/>
      <c r="D30" s="249"/>
      <c r="E30" s="102" t="s">
        <v>9</v>
      </c>
      <c r="F30" s="83" t="s">
        <v>82</v>
      </c>
      <c r="G30" s="81">
        <v>0</v>
      </c>
      <c r="H30" s="82">
        <f t="shared" si="0"/>
        <v>0</v>
      </c>
    </row>
    <row r="31" spans="1:8" ht="35.25" customHeight="1">
      <c r="A31" s="79"/>
      <c r="B31" s="250" t="s">
        <v>21</v>
      </c>
      <c r="C31" s="250"/>
      <c r="D31" s="250"/>
      <c r="E31" s="98" t="s">
        <v>35</v>
      </c>
      <c r="F31" s="83" t="s">
        <v>82</v>
      </c>
      <c r="G31" s="81">
        <v>1.54</v>
      </c>
      <c r="H31" s="82">
        <f t="shared" si="0"/>
        <v>11423</v>
      </c>
    </row>
    <row r="32" spans="1:8" ht="15.75" hidden="1">
      <c r="A32" s="23"/>
      <c r="B32" s="159" t="s">
        <v>157</v>
      </c>
      <c r="C32" s="228"/>
      <c r="D32" s="229"/>
      <c r="E32" s="102" t="s">
        <v>9</v>
      </c>
      <c r="F32" s="83"/>
      <c r="G32" s="81"/>
      <c r="H32" s="82"/>
    </row>
    <row r="33" spans="1:8" ht="25.5" hidden="1">
      <c r="A33" s="23"/>
      <c r="B33" s="159" t="s">
        <v>158</v>
      </c>
      <c r="C33" s="228"/>
      <c r="D33" s="229"/>
      <c r="E33" s="98" t="s">
        <v>35</v>
      </c>
      <c r="F33" s="83"/>
      <c r="G33" s="81"/>
      <c r="H33" s="82"/>
    </row>
    <row r="34" spans="1:8" ht="15.75" hidden="1">
      <c r="A34" s="79"/>
      <c r="B34" s="194"/>
      <c r="C34" s="195"/>
      <c r="D34" s="196"/>
      <c r="E34" s="98"/>
      <c r="F34" s="83"/>
      <c r="G34" s="81"/>
      <c r="H34" s="82"/>
    </row>
    <row r="35" spans="1:8" ht="15.75" hidden="1">
      <c r="A35" s="79"/>
      <c r="B35" s="194"/>
      <c r="C35" s="195"/>
      <c r="D35" s="196"/>
      <c r="E35" s="98"/>
      <c r="F35" s="83"/>
      <c r="G35" s="81"/>
      <c r="H35" s="82"/>
    </row>
    <row r="36" spans="1:8" ht="15.75">
      <c r="A36" s="79"/>
      <c r="B36" s="261" t="s">
        <v>30</v>
      </c>
      <c r="C36" s="262"/>
      <c r="D36" s="263"/>
      <c r="E36" s="14"/>
      <c r="F36" s="83"/>
      <c r="G36" s="21">
        <f>SUM(G19:G35)</f>
        <v>13.82</v>
      </c>
      <c r="H36" s="82">
        <f>ROUND($E$8*G36*1,0)</f>
        <v>102511</v>
      </c>
    </row>
    <row r="37" spans="1:8" ht="18.75" customHeight="1">
      <c r="A37" s="74" t="s">
        <v>222</v>
      </c>
      <c r="B37" s="172" t="s">
        <v>208</v>
      </c>
      <c r="C37" s="173"/>
      <c r="D37" s="173"/>
      <c r="E37" s="135" t="s">
        <v>216</v>
      </c>
      <c r="F37" s="51" t="s">
        <v>138</v>
      </c>
      <c r="G37" s="24">
        <v>1.54</v>
      </c>
      <c r="H37" s="82">
        <f>ROUND($E$8*G37*1,0)</f>
        <v>11423</v>
      </c>
    </row>
    <row r="38" spans="1:8" ht="15.75">
      <c r="A38" s="74" t="s">
        <v>223</v>
      </c>
      <c r="B38" s="261" t="s">
        <v>193</v>
      </c>
      <c r="C38" s="262"/>
      <c r="D38" s="262"/>
      <c r="E38" s="14"/>
      <c r="F38" s="134"/>
      <c r="G38" s="21">
        <f>SUM(G36:G37)</f>
        <v>15.36</v>
      </c>
      <c r="H38" s="120">
        <f>ROUND($E$8*G38*1,0)</f>
        <v>113934</v>
      </c>
    </row>
    <row r="39" spans="1:8" ht="18.75" customHeight="1" thickBot="1">
      <c r="A39" s="121">
        <v>2</v>
      </c>
      <c r="B39" s="240" t="s">
        <v>209</v>
      </c>
      <c r="C39" s="241"/>
      <c r="D39" s="242"/>
      <c r="E39" s="136" t="s">
        <v>216</v>
      </c>
      <c r="F39" s="123" t="s">
        <v>138</v>
      </c>
      <c r="G39" s="143">
        <v>0.8</v>
      </c>
      <c r="H39" s="125">
        <f>ROUND($E$8*G39*1,0)</f>
        <v>5934</v>
      </c>
    </row>
    <row r="40" spans="2:8" ht="15.75" hidden="1">
      <c r="B40" s="255" t="s">
        <v>210</v>
      </c>
      <c r="C40" s="255"/>
      <c r="D40" s="255"/>
      <c r="E40" s="255"/>
      <c r="G40" s="85"/>
      <c r="H40" s="86"/>
    </row>
    <row r="41" spans="1:8" ht="15.75">
      <c r="A41" s="256" t="s">
        <v>226</v>
      </c>
      <c r="B41" s="256"/>
      <c r="C41" s="256"/>
      <c r="D41" s="256"/>
      <c r="E41" s="256"/>
      <c r="G41" s="85"/>
      <c r="H41" s="86"/>
    </row>
    <row r="42" spans="2:8" ht="14.25" customHeight="1">
      <c r="B42" s="137"/>
      <c r="C42" s="137"/>
      <c r="D42" s="137"/>
      <c r="E42" s="137"/>
      <c r="G42" s="85"/>
      <c r="H42" s="86"/>
    </row>
    <row r="43" spans="1:8" ht="15.75">
      <c r="A43" s="47" t="s">
        <v>224</v>
      </c>
      <c r="B43" s="47"/>
      <c r="C43" s="47"/>
      <c r="D43" s="34"/>
      <c r="E43" s="257" t="s">
        <v>217</v>
      </c>
      <c r="F43" s="257"/>
      <c r="G43" s="257"/>
      <c r="H43" s="257"/>
    </row>
    <row r="44" spans="1:8" ht="13.5" customHeight="1">
      <c r="A44" s="34"/>
      <c r="B44" s="34"/>
      <c r="C44" s="34"/>
      <c r="D44" s="34"/>
      <c r="E44" s="34"/>
      <c r="F44" s="34"/>
      <c r="G44" s="34"/>
      <c r="H44" s="34"/>
    </row>
    <row r="45" spans="1:8" ht="15.75">
      <c r="A45" s="47" t="s">
        <v>225</v>
      </c>
      <c r="B45" s="47"/>
      <c r="C45" s="47"/>
      <c r="D45" s="34"/>
      <c r="E45" s="257" t="s">
        <v>218</v>
      </c>
      <c r="F45" s="257"/>
      <c r="G45" s="257"/>
      <c r="H45" s="257"/>
    </row>
  </sheetData>
  <mergeCells count="34">
    <mergeCell ref="B39:D39"/>
    <mergeCell ref="B40:E40"/>
    <mergeCell ref="B37:D37"/>
    <mergeCell ref="B38:D38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D1:H1"/>
    <mergeCell ref="A4:G4"/>
    <mergeCell ref="B6:G6"/>
    <mergeCell ref="B13:D13"/>
    <mergeCell ref="A41:E41"/>
    <mergeCell ref="E43:H43"/>
    <mergeCell ref="E45:H45"/>
    <mergeCell ref="B12:D12"/>
    <mergeCell ref="B14:F14"/>
    <mergeCell ref="B15:F15"/>
    <mergeCell ref="B16:F16"/>
    <mergeCell ref="B17:F17"/>
    <mergeCell ref="B19:D19"/>
    <mergeCell ref="B20:D2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A28" sqref="A28:IV29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98" t="s">
        <v>239</v>
      </c>
      <c r="B1" s="198"/>
      <c r="C1" s="198"/>
      <c r="D1" s="198"/>
      <c r="E1" s="198"/>
      <c r="F1" s="198"/>
      <c r="G1" s="198"/>
      <c r="H1" s="198"/>
      <c r="I1" s="198"/>
    </row>
    <row r="2" spans="1:9" ht="20.25">
      <c r="A2" s="141"/>
      <c r="B2" s="141"/>
      <c r="C2" s="141"/>
      <c r="D2" s="141"/>
      <c r="E2" s="141"/>
      <c r="F2" s="141"/>
      <c r="G2" s="141"/>
      <c r="H2" s="141"/>
      <c r="I2" s="141"/>
    </row>
    <row r="3" spans="1:9" ht="20.25">
      <c r="A3" s="141"/>
      <c r="B3" s="141"/>
      <c r="C3" s="141"/>
      <c r="D3" s="141"/>
      <c r="E3" s="141"/>
      <c r="F3" s="141"/>
      <c r="G3" s="141"/>
      <c r="H3" s="141"/>
      <c r="I3" s="141"/>
    </row>
    <row r="4" spans="1:6" ht="47.25">
      <c r="A4" s="1" t="s">
        <v>77</v>
      </c>
      <c r="B4" s="1" t="s">
        <v>85</v>
      </c>
      <c r="C4" s="2"/>
      <c r="D4" s="145" t="s">
        <v>227</v>
      </c>
      <c r="E4" s="4">
        <v>7417.6</v>
      </c>
      <c r="F4" s="2"/>
    </row>
    <row r="5" spans="2:6" ht="15.75">
      <c r="B5" s="3" t="s">
        <v>1</v>
      </c>
      <c r="C5" s="27">
        <v>9</v>
      </c>
      <c r="D5" s="2" t="s">
        <v>2</v>
      </c>
      <c r="E5" s="4">
        <v>144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87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117" t="s">
        <v>60</v>
      </c>
      <c r="B8" s="243" t="s">
        <v>141</v>
      </c>
      <c r="C8" s="244"/>
      <c r="D8" s="245"/>
      <c r="E8" s="73" t="s">
        <v>6</v>
      </c>
      <c r="F8" s="73" t="s">
        <v>7</v>
      </c>
      <c r="G8" s="118" t="s">
        <v>228</v>
      </c>
      <c r="H8" s="118" t="s">
        <v>229</v>
      </c>
      <c r="I8" s="119" t="s">
        <v>230</v>
      </c>
    </row>
    <row r="9" spans="1:9" ht="38.25">
      <c r="A9" s="131">
        <v>1</v>
      </c>
      <c r="B9" s="233">
        <v>2</v>
      </c>
      <c r="C9" s="234"/>
      <c r="D9" s="264"/>
      <c r="E9" s="146">
        <v>3</v>
      </c>
      <c r="F9" s="146">
        <v>3</v>
      </c>
      <c r="G9" s="146">
        <v>4</v>
      </c>
      <c r="H9" s="146">
        <v>5</v>
      </c>
      <c r="I9" s="133" t="s">
        <v>231</v>
      </c>
    </row>
    <row r="10" spans="1:9" ht="15.75" customHeight="1">
      <c r="A10" s="74">
        <v>1</v>
      </c>
      <c r="B10" s="246" t="s">
        <v>134</v>
      </c>
      <c r="C10" s="246"/>
      <c r="D10" s="246"/>
      <c r="E10" s="246"/>
      <c r="F10" s="246"/>
      <c r="G10" s="75"/>
      <c r="H10" s="147"/>
      <c r="I10" s="76"/>
    </row>
    <row r="11" spans="1:9" ht="15.75" customHeight="1">
      <c r="A11" s="74"/>
      <c r="B11" s="213" t="s">
        <v>190</v>
      </c>
      <c r="C11" s="213"/>
      <c r="D11" s="213"/>
      <c r="E11" s="213"/>
      <c r="F11" s="213"/>
      <c r="G11" s="24">
        <f>G32</f>
        <v>14.370000000000001</v>
      </c>
      <c r="H11" s="24">
        <f>H32</f>
        <v>15.300000000000002</v>
      </c>
      <c r="I11" s="82">
        <f>ROUND($E$4*G11*6,0)+ROUND($E$4*H11*6,0)</f>
        <v>1320481</v>
      </c>
    </row>
    <row r="12" spans="1:9" ht="15.75" customHeight="1">
      <c r="A12" s="74"/>
      <c r="B12" s="248" t="s">
        <v>135</v>
      </c>
      <c r="C12" s="248"/>
      <c r="D12" s="248"/>
      <c r="E12" s="248"/>
      <c r="F12" s="248"/>
      <c r="G12" s="24">
        <f>G33</f>
        <v>0.8</v>
      </c>
      <c r="H12" s="24">
        <f>H33</f>
        <v>0</v>
      </c>
      <c r="I12" s="82">
        <f>ROUND($E$4*G12*6,0)+ROUND($E$4*H12*6,0)</f>
        <v>35604</v>
      </c>
    </row>
    <row r="13" spans="1:9" ht="15.75" customHeight="1">
      <c r="A13" s="74">
        <v>2</v>
      </c>
      <c r="B13" s="265" t="s">
        <v>65</v>
      </c>
      <c r="C13" s="266"/>
      <c r="D13" s="266"/>
      <c r="E13" s="266"/>
      <c r="F13" s="267"/>
      <c r="G13" s="77"/>
      <c r="H13" s="142"/>
      <c r="I13" s="82"/>
    </row>
    <row r="14" spans="1:9" ht="18.75" customHeight="1">
      <c r="A14" s="74" t="s">
        <v>221</v>
      </c>
      <c r="B14" s="19" t="s">
        <v>66</v>
      </c>
      <c r="C14" s="19"/>
      <c r="D14" s="19"/>
      <c r="E14" s="19"/>
      <c r="F14" s="5"/>
      <c r="G14" s="78"/>
      <c r="H14" s="148"/>
      <c r="I14" s="82"/>
    </row>
    <row r="15" spans="1:9" ht="29.25" customHeight="1">
      <c r="A15" s="79"/>
      <c r="B15" s="268" t="s">
        <v>232</v>
      </c>
      <c r="C15" s="247"/>
      <c r="D15" s="247"/>
      <c r="E15" s="98" t="s">
        <v>32</v>
      </c>
      <c r="F15" s="80" t="s">
        <v>24</v>
      </c>
      <c r="G15" s="81">
        <v>1.29</v>
      </c>
      <c r="H15" s="149">
        <v>1.37</v>
      </c>
      <c r="I15" s="82">
        <f>ROUND($E$4*G15*6,0)+ROUND($E$4*H15*6,0)</f>
        <v>118385</v>
      </c>
    </row>
    <row r="16" spans="1:10" ht="15.75" customHeight="1">
      <c r="A16" s="79"/>
      <c r="B16" s="247" t="s">
        <v>17</v>
      </c>
      <c r="C16" s="247"/>
      <c r="D16" s="247"/>
      <c r="E16" s="98" t="s">
        <v>32</v>
      </c>
      <c r="F16" s="80" t="s">
        <v>19</v>
      </c>
      <c r="G16" s="81">
        <v>0.3</v>
      </c>
      <c r="H16" s="149">
        <v>0.32</v>
      </c>
      <c r="I16" s="82">
        <f aca="true" t="shared" si="0" ref="I16:I33">ROUND($E$4*G16*6,0)+ROUND($E$4*H16*6,0)</f>
        <v>27594</v>
      </c>
      <c r="J16" s="31"/>
    </row>
    <row r="17" spans="1:9" ht="18.75" customHeight="1">
      <c r="A17" s="79"/>
      <c r="B17" s="249" t="s">
        <v>233</v>
      </c>
      <c r="C17" s="249"/>
      <c r="D17" s="249"/>
      <c r="E17" s="102" t="s">
        <v>153</v>
      </c>
      <c r="F17" s="83" t="s">
        <v>20</v>
      </c>
      <c r="G17" s="81">
        <v>0.06</v>
      </c>
      <c r="H17" s="149">
        <v>0.06</v>
      </c>
      <c r="I17" s="82">
        <f t="shared" si="0"/>
        <v>5340</v>
      </c>
    </row>
    <row r="18" spans="1:9" ht="15.75" customHeight="1">
      <c r="A18" s="79"/>
      <c r="B18" s="251" t="s">
        <v>31</v>
      </c>
      <c r="C18" s="251"/>
      <c r="D18" s="251"/>
      <c r="E18" s="104" t="s">
        <v>9</v>
      </c>
      <c r="F18" s="84" t="s">
        <v>10</v>
      </c>
      <c r="G18" s="81">
        <v>0.54</v>
      </c>
      <c r="H18" s="149">
        <v>0.58</v>
      </c>
      <c r="I18" s="82">
        <f t="shared" si="0"/>
        <v>49846</v>
      </c>
    </row>
    <row r="19" spans="1:9" ht="51" customHeight="1">
      <c r="A19" s="79"/>
      <c r="B19" s="249" t="s">
        <v>27</v>
      </c>
      <c r="C19" s="249"/>
      <c r="D19" s="249"/>
      <c r="E19" s="102" t="s">
        <v>154</v>
      </c>
      <c r="F19" s="83" t="s">
        <v>25</v>
      </c>
      <c r="G19" s="81">
        <v>0.13</v>
      </c>
      <c r="H19" s="149">
        <v>0.14</v>
      </c>
      <c r="I19" s="82">
        <f t="shared" si="0"/>
        <v>12017</v>
      </c>
    </row>
    <row r="20" spans="1:9" ht="37.5" customHeight="1">
      <c r="A20" s="79"/>
      <c r="B20" s="249" t="s">
        <v>11</v>
      </c>
      <c r="C20" s="249"/>
      <c r="D20" s="249"/>
      <c r="E20" s="102" t="s">
        <v>9</v>
      </c>
      <c r="F20" s="83" t="s">
        <v>12</v>
      </c>
      <c r="G20" s="81">
        <v>2.35</v>
      </c>
      <c r="H20" s="149">
        <v>2.5</v>
      </c>
      <c r="I20" s="82">
        <f t="shared" si="0"/>
        <v>215852</v>
      </c>
    </row>
    <row r="21" spans="1:9" ht="21" customHeight="1">
      <c r="A21" s="79"/>
      <c r="B21" s="249" t="s">
        <v>26</v>
      </c>
      <c r="C21" s="250"/>
      <c r="D21" s="250"/>
      <c r="E21" s="105" t="s">
        <v>13</v>
      </c>
      <c r="F21" s="77" t="s">
        <v>136</v>
      </c>
      <c r="G21" s="81">
        <v>0.05</v>
      </c>
      <c r="H21" s="149">
        <v>0.05</v>
      </c>
      <c r="I21" s="82">
        <f t="shared" si="0"/>
        <v>4450</v>
      </c>
    </row>
    <row r="22" spans="1:9" ht="51">
      <c r="A22" s="79"/>
      <c r="B22" s="249" t="s">
        <v>71</v>
      </c>
      <c r="C22" s="249"/>
      <c r="D22" s="249"/>
      <c r="E22" s="98" t="s">
        <v>234</v>
      </c>
      <c r="F22" s="83" t="s">
        <v>82</v>
      </c>
      <c r="G22" s="81">
        <v>1.63</v>
      </c>
      <c r="H22" s="149">
        <v>1.74</v>
      </c>
      <c r="I22" s="82">
        <f t="shared" si="0"/>
        <v>149984</v>
      </c>
    </row>
    <row r="23" spans="1:9" ht="55.5" customHeight="1">
      <c r="A23" s="79"/>
      <c r="B23" s="247" t="s">
        <v>15</v>
      </c>
      <c r="C23" s="247"/>
      <c r="D23" s="247"/>
      <c r="E23" s="98" t="s">
        <v>137</v>
      </c>
      <c r="F23" s="83" t="s">
        <v>82</v>
      </c>
      <c r="G23" s="81">
        <v>0.56</v>
      </c>
      <c r="H23" s="149">
        <v>0.6</v>
      </c>
      <c r="I23" s="82">
        <f t="shared" si="0"/>
        <v>51626</v>
      </c>
    </row>
    <row r="24" spans="1:9" ht="28.5" customHeight="1">
      <c r="A24" s="79"/>
      <c r="B24" s="249" t="s">
        <v>36</v>
      </c>
      <c r="C24" s="250"/>
      <c r="D24" s="250"/>
      <c r="E24" s="98" t="s">
        <v>35</v>
      </c>
      <c r="F24" s="83" t="s">
        <v>82</v>
      </c>
      <c r="G24" s="81">
        <f>4.38-G25-G26</f>
        <v>4.07</v>
      </c>
      <c r="H24" s="81">
        <f>4.66-H25-H26</f>
        <v>4.33</v>
      </c>
      <c r="I24" s="82">
        <f t="shared" si="0"/>
        <v>373847</v>
      </c>
    </row>
    <row r="25" spans="1:9" ht="15.75" customHeight="1">
      <c r="A25" s="79"/>
      <c r="B25" s="249" t="s">
        <v>191</v>
      </c>
      <c r="C25" s="249"/>
      <c r="D25" s="249"/>
      <c r="E25" s="102" t="s">
        <v>9</v>
      </c>
      <c r="F25" s="83" t="s">
        <v>82</v>
      </c>
      <c r="G25" s="81">
        <v>0.31</v>
      </c>
      <c r="H25" s="149">
        <v>0.33</v>
      </c>
      <c r="I25" s="82">
        <f t="shared" si="0"/>
        <v>28484</v>
      </c>
    </row>
    <row r="26" spans="1:9" ht="21.75" customHeight="1">
      <c r="A26" s="79"/>
      <c r="B26" s="249" t="s">
        <v>156</v>
      </c>
      <c r="C26" s="249"/>
      <c r="D26" s="249"/>
      <c r="E26" s="102" t="s">
        <v>9</v>
      </c>
      <c r="F26" s="83" t="s">
        <v>82</v>
      </c>
      <c r="G26" s="81">
        <v>0</v>
      </c>
      <c r="H26" s="149">
        <v>0</v>
      </c>
      <c r="I26" s="82">
        <f t="shared" si="0"/>
        <v>0</v>
      </c>
    </row>
    <row r="27" spans="1:9" ht="29.25" customHeight="1">
      <c r="A27" s="79"/>
      <c r="B27" s="250" t="s">
        <v>235</v>
      </c>
      <c r="C27" s="250"/>
      <c r="D27" s="250"/>
      <c r="E27" s="98" t="s">
        <v>35</v>
      </c>
      <c r="F27" s="83" t="s">
        <v>82</v>
      </c>
      <c r="G27" s="81">
        <v>1.54</v>
      </c>
      <c r="H27" s="149">
        <v>1.64</v>
      </c>
      <c r="I27" s="82">
        <f t="shared" si="0"/>
        <v>141528</v>
      </c>
    </row>
    <row r="28" spans="1:9" ht="15.75" customHeight="1" hidden="1">
      <c r="A28" s="23"/>
      <c r="B28" s="159" t="s">
        <v>157</v>
      </c>
      <c r="C28" s="228"/>
      <c r="D28" s="229"/>
      <c r="E28" s="102" t="s">
        <v>9</v>
      </c>
      <c r="F28" s="83"/>
      <c r="G28" s="81"/>
      <c r="H28" s="149"/>
      <c r="I28" s="82">
        <f t="shared" si="0"/>
        <v>0</v>
      </c>
    </row>
    <row r="29" spans="1:9" ht="31.5" customHeight="1" hidden="1">
      <c r="A29" s="23"/>
      <c r="B29" s="159" t="s">
        <v>158</v>
      </c>
      <c r="C29" s="228"/>
      <c r="D29" s="229"/>
      <c r="E29" s="98" t="s">
        <v>35</v>
      </c>
      <c r="F29" s="83"/>
      <c r="G29" s="81"/>
      <c r="H29" s="149"/>
      <c r="I29" s="82">
        <f t="shared" si="0"/>
        <v>0</v>
      </c>
    </row>
    <row r="30" spans="1:9" ht="15.75" customHeight="1">
      <c r="A30" s="79"/>
      <c r="B30" s="252" t="s">
        <v>30</v>
      </c>
      <c r="C30" s="253"/>
      <c r="D30" s="254"/>
      <c r="E30" s="14"/>
      <c r="F30" s="83"/>
      <c r="G30" s="21">
        <f>SUM(G13:G29)</f>
        <v>12.830000000000002</v>
      </c>
      <c r="H30" s="21">
        <f>SUM(H15:H29)</f>
        <v>13.660000000000002</v>
      </c>
      <c r="I30" s="82">
        <f t="shared" si="0"/>
        <v>1178953</v>
      </c>
    </row>
    <row r="31" spans="1:9" ht="21" customHeight="1">
      <c r="A31" s="74" t="s">
        <v>222</v>
      </c>
      <c r="B31" s="172" t="s">
        <v>208</v>
      </c>
      <c r="C31" s="173"/>
      <c r="D31" s="173"/>
      <c r="E31" s="135" t="s">
        <v>216</v>
      </c>
      <c r="F31" s="51" t="s">
        <v>138</v>
      </c>
      <c r="G31" s="24">
        <v>1.54</v>
      </c>
      <c r="H31" s="24">
        <v>1.64</v>
      </c>
      <c r="I31" s="82">
        <f t="shared" si="0"/>
        <v>141528</v>
      </c>
    </row>
    <row r="32" spans="1:9" ht="15.75" customHeight="1">
      <c r="A32" s="74" t="s">
        <v>223</v>
      </c>
      <c r="B32" s="239" t="s">
        <v>193</v>
      </c>
      <c r="C32" s="239"/>
      <c r="D32" s="239"/>
      <c r="E32" s="239"/>
      <c r="F32" s="239"/>
      <c r="G32" s="21">
        <f>SUM(G30:G31)</f>
        <v>14.370000000000001</v>
      </c>
      <c r="H32" s="21">
        <f>SUM(H30:H31)</f>
        <v>15.300000000000002</v>
      </c>
      <c r="I32" s="82">
        <f t="shared" si="0"/>
        <v>1320481</v>
      </c>
    </row>
    <row r="33" spans="1:9" ht="24" customHeight="1" thickBot="1">
      <c r="A33" s="121" t="s">
        <v>99</v>
      </c>
      <c r="B33" s="240" t="s">
        <v>236</v>
      </c>
      <c r="C33" s="241"/>
      <c r="D33" s="242"/>
      <c r="E33" s="136" t="s">
        <v>216</v>
      </c>
      <c r="F33" s="123" t="s">
        <v>138</v>
      </c>
      <c r="G33" s="143">
        <v>0.8</v>
      </c>
      <c r="H33" s="143">
        <v>0</v>
      </c>
      <c r="I33" s="150">
        <f t="shared" si="0"/>
        <v>35604</v>
      </c>
    </row>
    <row r="34" spans="2:9" ht="59.25" customHeight="1">
      <c r="B34" s="269" t="s">
        <v>237</v>
      </c>
      <c r="C34" s="269"/>
      <c r="D34" s="269"/>
      <c r="E34" s="269"/>
      <c r="G34" s="152"/>
      <c r="H34" s="85"/>
      <c r="I34" s="86"/>
    </row>
    <row r="35" spans="2:9" ht="24.75" customHeight="1">
      <c r="B35" s="151"/>
      <c r="C35" s="151"/>
      <c r="D35" s="151"/>
      <c r="E35" s="151"/>
      <c r="G35" s="153"/>
      <c r="H35" s="85"/>
      <c r="I35" s="86"/>
    </row>
    <row r="36" spans="1:9" ht="15.75" customHeight="1">
      <c r="A36" s="43" t="s">
        <v>238</v>
      </c>
      <c r="B36" s="43"/>
      <c r="C36" s="43"/>
      <c r="D36" s="34"/>
      <c r="G36" s="85"/>
      <c r="H36" s="85"/>
      <c r="I36" s="86"/>
    </row>
  </sheetData>
  <mergeCells count="27">
    <mergeCell ref="B32:F32"/>
    <mergeCell ref="B33:D33"/>
    <mergeCell ref="B34:E34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C1">
      <selection activeCell="O2" sqref="O2"/>
    </sheetView>
  </sheetViews>
  <sheetFormatPr defaultColWidth="9.00390625" defaultRowHeight="15.75"/>
  <cols>
    <col min="1" max="1" width="6.625" style="0" customWidth="1"/>
    <col min="2" max="2" width="25.125" style="0" customWidth="1"/>
    <col min="3" max="3" width="3.75390625" style="0" customWidth="1"/>
    <col min="4" max="4" width="24.875" style="0" customWidth="1"/>
    <col min="5" max="5" width="16.875" style="0" customWidth="1"/>
    <col min="6" max="6" width="0.12890625" style="0" customWidth="1"/>
    <col min="7" max="7" width="9.375" style="0" hidden="1" customWidth="1"/>
    <col min="8" max="8" width="13.25390625" style="0" hidden="1" customWidth="1"/>
    <col min="9" max="9" width="12.00390625" style="0" hidden="1" customWidth="1"/>
    <col min="10" max="10" width="23.125" style="0" customWidth="1"/>
    <col min="11" max="12" width="0" style="0" hidden="1" customWidth="1"/>
  </cols>
  <sheetData>
    <row r="1" spans="1:10" ht="126.75" customHeight="1">
      <c r="A1" s="198" t="s">
        <v>255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54" customHeight="1">
      <c r="A2" s="232" t="s">
        <v>240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7417.6</v>
      </c>
      <c r="F3" s="2"/>
      <c r="I3" s="87"/>
    </row>
    <row r="4" spans="2:6" ht="15.75">
      <c r="B4" s="3" t="s">
        <v>1</v>
      </c>
      <c r="C4" s="27">
        <v>9</v>
      </c>
      <c r="D4" s="2" t="s">
        <v>2</v>
      </c>
      <c r="E4" s="4">
        <v>144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87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2" ht="46.5" customHeight="1">
      <c r="A7" s="22" t="s">
        <v>60</v>
      </c>
      <c r="B7" s="233" t="s">
        <v>141</v>
      </c>
      <c r="C7" s="234"/>
      <c r="D7" s="235"/>
      <c r="E7" s="11" t="s">
        <v>6</v>
      </c>
      <c r="F7" s="11" t="s">
        <v>7</v>
      </c>
      <c r="G7" s="163" t="s">
        <v>248</v>
      </c>
      <c r="H7" s="236" t="s">
        <v>250</v>
      </c>
      <c r="I7" s="237"/>
      <c r="J7" s="238"/>
      <c r="K7" s="57">
        <v>1</v>
      </c>
      <c r="L7" s="164" t="s">
        <v>241</v>
      </c>
    </row>
    <row r="8" spans="1:10" ht="15.75">
      <c r="A8" s="23">
        <v>1</v>
      </c>
      <c r="B8" s="223"/>
      <c r="C8" s="224"/>
      <c r="D8" s="224"/>
      <c r="E8" s="224"/>
      <c r="F8" s="225"/>
      <c r="G8" s="165"/>
      <c r="H8" s="166" t="s">
        <v>143</v>
      </c>
      <c r="I8" s="91" t="s">
        <v>144</v>
      </c>
      <c r="J8" s="91" t="s">
        <v>145</v>
      </c>
    </row>
    <row r="9" spans="1:10" ht="15.75">
      <c r="A9" s="23"/>
      <c r="B9" s="223" t="s">
        <v>146</v>
      </c>
      <c r="C9" s="224"/>
      <c r="D9" s="224"/>
      <c r="E9" s="224"/>
      <c r="F9" s="225"/>
      <c r="G9" s="58"/>
      <c r="H9" s="58"/>
      <c r="I9" s="58"/>
      <c r="J9" s="91"/>
    </row>
    <row r="10" spans="1:10" ht="15.75">
      <c r="A10" s="92"/>
      <c r="B10" s="231" t="s">
        <v>147</v>
      </c>
      <c r="C10" s="231"/>
      <c r="D10" s="231"/>
      <c r="E10" s="231"/>
      <c r="F10" s="231"/>
      <c r="G10" s="15"/>
      <c r="H10" s="93">
        <v>125956.25</v>
      </c>
      <c r="I10" s="75"/>
      <c r="J10" s="94">
        <f>H10+I10</f>
        <v>125956.25</v>
      </c>
    </row>
    <row r="11" spans="1:10" ht="15.75">
      <c r="A11" s="92"/>
      <c r="B11" s="231" t="s">
        <v>148</v>
      </c>
      <c r="C11" s="231"/>
      <c r="D11" s="231"/>
      <c r="E11" s="231"/>
      <c r="F11" s="231"/>
      <c r="G11" s="15"/>
      <c r="H11" s="16">
        <v>5698.48</v>
      </c>
      <c r="I11" s="75"/>
      <c r="J11" s="94">
        <f>H11+I11</f>
        <v>5698.48</v>
      </c>
    </row>
    <row r="12" spans="1:10" ht="15.75">
      <c r="A12" s="23"/>
      <c r="B12" s="231" t="s">
        <v>149</v>
      </c>
      <c r="C12" s="231"/>
      <c r="D12" s="231"/>
      <c r="E12" s="231"/>
      <c r="F12" s="231"/>
      <c r="G12" s="15"/>
      <c r="H12" s="93"/>
      <c r="I12" s="75">
        <v>0</v>
      </c>
      <c r="J12" s="94">
        <f>H12+I12</f>
        <v>0</v>
      </c>
    </row>
    <row r="13" spans="1:10" ht="15.75">
      <c r="A13" s="23"/>
      <c r="B13" s="231" t="s">
        <v>242</v>
      </c>
      <c r="C13" s="231"/>
      <c r="D13" s="231"/>
      <c r="E13" s="231"/>
      <c r="F13" s="231"/>
      <c r="G13" s="15"/>
      <c r="H13" s="93">
        <v>0</v>
      </c>
      <c r="I13" s="95">
        <v>0</v>
      </c>
      <c r="J13" s="94">
        <f>H13+I13</f>
        <v>0</v>
      </c>
    </row>
    <row r="14" spans="1:10" ht="15.75">
      <c r="A14" s="23"/>
      <c r="B14" s="213" t="s">
        <v>151</v>
      </c>
      <c r="C14" s="213"/>
      <c r="D14" s="213"/>
      <c r="E14" s="213"/>
      <c r="F14" s="213"/>
      <c r="G14" s="15"/>
      <c r="H14" s="96">
        <f>SUM(H10:H12)</f>
        <v>131654.73</v>
      </c>
      <c r="I14" s="97">
        <f>SUM(I10:I12)</f>
        <v>0</v>
      </c>
      <c r="J14" s="96">
        <f>SUM(J10:J13)</f>
        <v>131654.73</v>
      </c>
    </row>
    <row r="15" spans="1:10" ht="18.75">
      <c r="A15" s="23">
        <v>2</v>
      </c>
      <c r="B15" s="272" t="s">
        <v>65</v>
      </c>
      <c r="C15" s="272"/>
      <c r="D15" s="272"/>
      <c r="E15" s="272"/>
      <c r="F15" s="272"/>
      <c r="G15" s="15"/>
      <c r="H15" s="93"/>
      <c r="I15" s="75"/>
      <c r="J15" s="35"/>
    </row>
    <row r="16" spans="1:10" ht="15.75">
      <c r="A16" s="23" t="s">
        <v>152</v>
      </c>
      <c r="B16" s="167" t="s">
        <v>66</v>
      </c>
      <c r="C16" s="167"/>
      <c r="D16" s="167"/>
      <c r="E16" s="167"/>
      <c r="F16" s="112"/>
      <c r="G16" s="166"/>
      <c r="H16" s="166"/>
      <c r="I16" s="88"/>
      <c r="J16" s="91"/>
    </row>
    <row r="17" spans="1:10" ht="33" customHeight="1">
      <c r="A17" s="26"/>
      <c r="B17" s="230" t="s">
        <v>243</v>
      </c>
      <c r="C17" s="230"/>
      <c r="D17" s="230"/>
      <c r="E17" s="98" t="s">
        <v>32</v>
      </c>
      <c r="F17" s="80" t="s">
        <v>24</v>
      </c>
      <c r="G17" s="81">
        <v>1.29</v>
      </c>
      <c r="H17" s="99">
        <f>ROUND($E$3*G17*$K$7,2)</f>
        <v>9568.7</v>
      </c>
      <c r="I17" s="100"/>
      <c r="J17" s="101">
        <f>SUM(H17:I17)</f>
        <v>9568.7</v>
      </c>
    </row>
    <row r="18" spans="1:10" ht="17.25" customHeight="1">
      <c r="A18" s="23"/>
      <c r="B18" s="155" t="s">
        <v>17</v>
      </c>
      <c r="C18" s="155"/>
      <c r="D18" s="155"/>
      <c r="E18" s="98" t="s">
        <v>32</v>
      </c>
      <c r="F18" s="80" t="s">
        <v>19</v>
      </c>
      <c r="G18" s="81">
        <v>0.3</v>
      </c>
      <c r="H18" s="99">
        <f>ROUND($E$3*G18*$K$7,2)</f>
        <v>2225.28</v>
      </c>
      <c r="I18" s="100"/>
      <c r="J18" s="101">
        <f>SUM(H18:I18)</f>
        <v>2225.28</v>
      </c>
    </row>
    <row r="19" spans="1:10" ht="20.25" customHeight="1">
      <c r="A19" s="23"/>
      <c r="B19" s="157" t="s">
        <v>23</v>
      </c>
      <c r="C19" s="157"/>
      <c r="D19" s="157"/>
      <c r="E19" s="102" t="s">
        <v>153</v>
      </c>
      <c r="F19" s="83" t="s">
        <v>20</v>
      </c>
      <c r="G19" s="81">
        <v>1.05</v>
      </c>
      <c r="H19" s="99">
        <f>J19-I19</f>
        <v>700.43</v>
      </c>
      <c r="I19" s="100"/>
      <c r="J19" s="103">
        <v>700.43</v>
      </c>
    </row>
    <row r="20" spans="1:10" ht="20.25" customHeight="1">
      <c r="A20" s="26"/>
      <c r="B20" s="230" t="s">
        <v>31</v>
      </c>
      <c r="C20" s="230"/>
      <c r="D20" s="230"/>
      <c r="E20" s="104" t="s">
        <v>9</v>
      </c>
      <c r="F20" s="84" t="s">
        <v>10</v>
      </c>
      <c r="G20" s="81">
        <v>0.54</v>
      </c>
      <c r="H20" s="99">
        <f>ROUND($E$3*G20*$K$7,2)</f>
        <v>4005.5</v>
      </c>
      <c r="I20" s="100"/>
      <c r="J20" s="101">
        <f>SUM(H20:I20)</f>
        <v>4005.5</v>
      </c>
    </row>
    <row r="21" spans="1:10" ht="53.25" customHeight="1">
      <c r="A21" s="23"/>
      <c r="B21" s="157" t="s">
        <v>27</v>
      </c>
      <c r="C21" s="157"/>
      <c r="D21" s="157"/>
      <c r="E21" s="102" t="s">
        <v>154</v>
      </c>
      <c r="F21" s="83" t="s">
        <v>25</v>
      </c>
      <c r="G21" s="81">
        <v>0.13</v>
      </c>
      <c r="H21" s="99">
        <f>J21-I21</f>
        <v>0</v>
      </c>
      <c r="I21" s="100"/>
      <c r="J21" s="103">
        <v>0</v>
      </c>
    </row>
    <row r="22" spans="1:10" ht="20.25" customHeight="1">
      <c r="A22" s="26"/>
      <c r="B22" s="157" t="s">
        <v>11</v>
      </c>
      <c r="C22" s="157"/>
      <c r="D22" s="157"/>
      <c r="E22" s="102" t="s">
        <v>9</v>
      </c>
      <c r="F22" s="83" t="s">
        <v>12</v>
      </c>
      <c r="G22" s="81">
        <v>2.35</v>
      </c>
      <c r="H22" s="99">
        <f>ROUND($E$3*G22*$K$7,2)</f>
        <v>17431.36</v>
      </c>
      <c r="I22" s="100"/>
      <c r="J22" s="103">
        <f>H22</f>
        <v>17431.36</v>
      </c>
    </row>
    <row r="23" spans="1:10" ht="20.25" customHeight="1">
      <c r="A23" s="26"/>
      <c r="B23" s="157" t="s">
        <v>26</v>
      </c>
      <c r="C23" s="158"/>
      <c r="D23" s="158"/>
      <c r="E23" s="105" t="s">
        <v>13</v>
      </c>
      <c r="F23" s="77" t="s">
        <v>14</v>
      </c>
      <c r="G23" s="81">
        <v>0.05</v>
      </c>
      <c r="H23" s="99">
        <f>J23-I23</f>
        <v>0</v>
      </c>
      <c r="I23" s="100"/>
      <c r="J23" s="103">
        <v>0</v>
      </c>
    </row>
    <row r="24" spans="1:10" ht="51.75" customHeight="1">
      <c r="A24" s="23"/>
      <c r="B24" s="157" t="s">
        <v>71</v>
      </c>
      <c r="C24" s="157"/>
      <c r="D24" s="157"/>
      <c r="E24" s="98" t="s">
        <v>234</v>
      </c>
      <c r="F24" s="46" t="s">
        <v>82</v>
      </c>
      <c r="G24" s="81">
        <v>1.63</v>
      </c>
      <c r="H24" s="99">
        <f aca="true" t="shared" si="0" ref="H24:H29">ROUND($E$3*G24*$K$7,2)</f>
        <v>12090.69</v>
      </c>
      <c r="I24" s="100"/>
      <c r="J24" s="101">
        <f aca="true" t="shared" si="1" ref="J24:J29">SUM(H24:I24)</f>
        <v>12090.69</v>
      </c>
    </row>
    <row r="25" spans="1:10" ht="53.25" customHeight="1">
      <c r="A25" s="23"/>
      <c r="B25" s="155" t="s">
        <v>15</v>
      </c>
      <c r="C25" s="155"/>
      <c r="D25" s="155"/>
      <c r="E25" s="98" t="s">
        <v>137</v>
      </c>
      <c r="F25" s="46" t="s">
        <v>82</v>
      </c>
      <c r="G25" s="81">
        <v>0.56</v>
      </c>
      <c r="H25" s="99">
        <f>J25-I25</f>
        <v>4106.98</v>
      </c>
      <c r="I25" s="100"/>
      <c r="J25" s="101">
        <v>4106.98</v>
      </c>
    </row>
    <row r="26" spans="1:10" ht="30" customHeight="1">
      <c r="A26" s="23"/>
      <c r="B26" s="156" t="s">
        <v>36</v>
      </c>
      <c r="C26" s="195"/>
      <c r="D26" s="196"/>
      <c r="E26" s="98" t="s">
        <v>35</v>
      </c>
      <c r="F26" s="46" t="s">
        <v>82</v>
      </c>
      <c r="G26" s="81">
        <f>4.38-G27-G28</f>
        <v>4.07</v>
      </c>
      <c r="H26" s="99">
        <f t="shared" si="0"/>
        <v>30189.63</v>
      </c>
      <c r="I26" s="107"/>
      <c r="J26" s="101">
        <f t="shared" si="1"/>
        <v>30189.63</v>
      </c>
    </row>
    <row r="27" spans="1:10" ht="26.25" customHeight="1">
      <c r="A27" s="26"/>
      <c r="B27" s="157" t="s">
        <v>155</v>
      </c>
      <c r="C27" s="157"/>
      <c r="D27" s="157"/>
      <c r="E27" s="102" t="s">
        <v>9</v>
      </c>
      <c r="F27" s="46" t="s">
        <v>82</v>
      </c>
      <c r="G27" s="81">
        <v>0.31</v>
      </c>
      <c r="H27" s="99">
        <f t="shared" si="0"/>
        <v>2299.46</v>
      </c>
      <c r="I27" s="107"/>
      <c r="J27" s="101">
        <f t="shared" si="1"/>
        <v>2299.46</v>
      </c>
    </row>
    <row r="28" spans="1:10" ht="17.25" customHeight="1">
      <c r="A28" s="23"/>
      <c r="B28" s="157" t="s">
        <v>156</v>
      </c>
      <c r="C28" s="157"/>
      <c r="D28" s="157"/>
      <c r="E28" s="102" t="s">
        <v>9</v>
      </c>
      <c r="F28" s="46" t="s">
        <v>82</v>
      </c>
      <c r="G28" s="81">
        <v>0</v>
      </c>
      <c r="H28" s="99">
        <f t="shared" si="0"/>
        <v>0</v>
      </c>
      <c r="I28" s="107"/>
      <c r="J28" s="101">
        <f t="shared" si="1"/>
        <v>0</v>
      </c>
    </row>
    <row r="29" spans="1:10" ht="29.25" customHeight="1">
      <c r="A29" s="23"/>
      <c r="B29" s="158" t="s">
        <v>21</v>
      </c>
      <c r="C29" s="158"/>
      <c r="D29" s="158"/>
      <c r="E29" s="98" t="s">
        <v>35</v>
      </c>
      <c r="F29" s="46" t="s">
        <v>82</v>
      </c>
      <c r="G29" s="81">
        <v>1.54</v>
      </c>
      <c r="H29" s="99">
        <f t="shared" si="0"/>
        <v>11423.1</v>
      </c>
      <c r="I29" s="100"/>
      <c r="J29" s="101">
        <f t="shared" si="1"/>
        <v>11423.1</v>
      </c>
    </row>
    <row r="30" spans="1:10" ht="15.75">
      <c r="A30" s="23"/>
      <c r="B30" s="194"/>
      <c r="C30" s="195"/>
      <c r="D30" s="196"/>
      <c r="E30" s="135"/>
      <c r="F30" s="46"/>
      <c r="G30" s="77"/>
      <c r="H30" s="106"/>
      <c r="I30" s="95"/>
      <c r="J30" s="108"/>
    </row>
    <row r="31" spans="1:10" ht="15.75">
      <c r="A31" s="23"/>
      <c r="B31" s="271" t="s">
        <v>30</v>
      </c>
      <c r="C31" s="271"/>
      <c r="D31" s="271"/>
      <c r="E31" s="23"/>
      <c r="F31" s="46"/>
      <c r="G31" s="24">
        <f>SUM(G17:G29)</f>
        <v>13.82</v>
      </c>
      <c r="H31" s="116">
        <f>SUM(H17:H30)</f>
        <v>94041.13000000002</v>
      </c>
      <c r="I31" s="97"/>
      <c r="J31" s="116">
        <f>SUM(J17:J30)</f>
        <v>94041.13000000002</v>
      </c>
    </row>
    <row r="32" spans="1:10" ht="15.75" hidden="1">
      <c r="A32" s="23"/>
      <c r="B32" s="159" t="s">
        <v>157</v>
      </c>
      <c r="C32" s="228"/>
      <c r="D32" s="229"/>
      <c r="E32" s="135" t="s">
        <v>9</v>
      </c>
      <c r="F32" s="46"/>
      <c r="G32" s="77"/>
      <c r="H32" s="106"/>
      <c r="I32" s="95"/>
      <c r="J32" s="108"/>
    </row>
    <row r="33" spans="1:10" ht="25.5" hidden="1">
      <c r="A33" s="23"/>
      <c r="B33" s="159" t="s">
        <v>158</v>
      </c>
      <c r="C33" s="228"/>
      <c r="D33" s="229"/>
      <c r="E33" s="168" t="s">
        <v>35</v>
      </c>
      <c r="F33" s="46"/>
      <c r="G33" s="77"/>
      <c r="H33" s="106"/>
      <c r="I33" s="95"/>
      <c r="J33" s="108"/>
    </row>
    <row r="34" spans="1:10" ht="15.75" hidden="1">
      <c r="A34" s="23"/>
      <c r="B34" s="194"/>
      <c r="C34" s="195"/>
      <c r="D34" s="196"/>
      <c r="E34" s="135"/>
      <c r="F34" s="46"/>
      <c r="G34" s="77"/>
      <c r="H34" s="106"/>
      <c r="I34" s="95"/>
      <c r="J34" s="108"/>
    </row>
    <row r="35" spans="1:10" ht="15" customHeight="1">
      <c r="A35" s="23" t="s">
        <v>159</v>
      </c>
      <c r="B35" s="172" t="s">
        <v>160</v>
      </c>
      <c r="C35" s="173"/>
      <c r="D35" s="173"/>
      <c r="E35" s="174"/>
      <c r="F35" s="46" t="s">
        <v>82</v>
      </c>
      <c r="G35" s="24">
        <f>H35/E3/$K$7</f>
        <v>4.558617342536669</v>
      </c>
      <c r="H35" s="169">
        <v>33814</v>
      </c>
      <c r="I35" s="110"/>
      <c r="J35" s="96">
        <f>SUM(H35:I35)</f>
        <v>33814</v>
      </c>
    </row>
    <row r="36" spans="1:10" ht="14.25" customHeight="1">
      <c r="A36" s="25"/>
      <c r="B36" s="160" t="s">
        <v>69</v>
      </c>
      <c r="C36" s="160"/>
      <c r="D36" s="160"/>
      <c r="E36" s="160"/>
      <c r="F36" s="160"/>
      <c r="G36" s="24">
        <f>SUM(G31:G35)</f>
        <v>18.37861734253667</v>
      </c>
      <c r="H36" s="170">
        <f>SUM(H31:H35)</f>
        <v>127855.13000000002</v>
      </c>
      <c r="I36" s="171"/>
      <c r="J36" s="170">
        <f>SUM(J31:J35)</f>
        <v>127855.13000000002</v>
      </c>
    </row>
    <row r="37" spans="1:10" ht="15.75">
      <c r="A37" s="23" t="s">
        <v>161</v>
      </c>
      <c r="B37" s="160" t="s">
        <v>162</v>
      </c>
      <c r="C37" s="160"/>
      <c r="D37" s="160"/>
      <c r="E37" s="160"/>
      <c r="F37" s="160"/>
      <c r="G37" s="24">
        <f>H37/E3/$K$7</f>
        <v>0</v>
      </c>
      <c r="H37" s="113">
        <v>0</v>
      </c>
      <c r="I37" s="113"/>
      <c r="J37" s="114">
        <f>SUM(H37:I37)</f>
        <v>0</v>
      </c>
    </row>
    <row r="38" spans="1:10" ht="24.75" customHeight="1">
      <c r="A38" s="25"/>
      <c r="B38" s="160" t="s">
        <v>163</v>
      </c>
      <c r="C38" s="160"/>
      <c r="D38" s="160"/>
      <c r="E38" s="160"/>
      <c r="F38" s="160"/>
      <c r="G38" s="24">
        <f>SUM(G36:G37)</f>
        <v>18.37861734253667</v>
      </c>
      <c r="H38" s="170">
        <f>SUM(H36:H37)</f>
        <v>127855.13000000002</v>
      </c>
      <c r="I38" s="171"/>
      <c r="J38" s="170">
        <f>SUM(J36:J37)</f>
        <v>127855.13000000002</v>
      </c>
    </row>
    <row r="39" spans="1:10" ht="27" customHeight="1">
      <c r="A39" s="23">
        <v>3</v>
      </c>
      <c r="B39" s="161" t="s">
        <v>249</v>
      </c>
      <c r="C39" s="162"/>
      <c r="D39" s="162"/>
      <c r="E39" s="162"/>
      <c r="F39" s="162"/>
      <c r="G39" s="144"/>
      <c r="H39" s="99">
        <f>H14-H38</f>
        <v>3799.5999999999913</v>
      </c>
      <c r="I39" s="99"/>
      <c r="J39" s="97">
        <f>J14-J38</f>
        <v>3799.5999999999913</v>
      </c>
    </row>
    <row r="40" spans="2:6" ht="15.75">
      <c r="B40" s="34"/>
      <c r="F40" s="34"/>
    </row>
    <row r="41" spans="2:9" ht="36" customHeight="1">
      <c r="B41" s="270" t="s">
        <v>244</v>
      </c>
      <c r="C41" s="270"/>
      <c r="D41" s="270"/>
      <c r="E41" s="270"/>
      <c r="F41" s="270"/>
      <c r="G41" s="270"/>
      <c r="H41" s="270"/>
      <c r="I41" s="270"/>
    </row>
    <row r="42" spans="2:4" ht="25.5" customHeight="1">
      <c r="B42" s="34"/>
      <c r="C42" s="34"/>
      <c r="D42" s="34"/>
    </row>
    <row r="43" spans="2:4" ht="15.75">
      <c r="B43" s="176" t="s">
        <v>79</v>
      </c>
      <c r="C43" s="176"/>
      <c r="D43" s="176"/>
    </row>
    <row r="44" spans="2:4" ht="15.75">
      <c r="B44" s="47" t="s">
        <v>245</v>
      </c>
      <c r="C44" s="47"/>
      <c r="D44" s="176"/>
    </row>
    <row r="45" spans="2:4" ht="15.75" customHeight="1">
      <c r="B45" s="203" t="s">
        <v>246</v>
      </c>
      <c r="C45" s="203"/>
      <c r="D45" s="203"/>
    </row>
    <row r="47" ht="15.75">
      <c r="B47" t="s">
        <v>247</v>
      </c>
    </row>
    <row r="48" ht="15.75">
      <c r="J48" s="85"/>
    </row>
    <row r="49" ht="15.75">
      <c r="J49" s="85"/>
    </row>
    <row r="50" ht="15.75">
      <c r="J50" s="85"/>
    </row>
    <row r="51" ht="15.75">
      <c r="J51" s="85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3:D33"/>
    <mergeCell ref="B34:D34"/>
    <mergeCell ref="B29:D29"/>
    <mergeCell ref="B30:D30"/>
    <mergeCell ref="B31:D31"/>
    <mergeCell ref="B32:D32"/>
    <mergeCell ref="B45:D45"/>
    <mergeCell ref="B35:E35"/>
    <mergeCell ref="B36:F36"/>
    <mergeCell ref="B41:I41"/>
    <mergeCell ref="B37:F37"/>
    <mergeCell ref="B38:F38"/>
    <mergeCell ref="B39:F39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2013-03-01T06:27:23Z</cp:lastPrinted>
  <dcterms:created xsi:type="dcterms:W3CDTF">2009-08-26T03:25:10Z</dcterms:created>
  <dcterms:modified xsi:type="dcterms:W3CDTF">2013-05-08T05:05:19Z</dcterms:modified>
  <cp:category/>
  <cp:version/>
  <cp:contentType/>
  <cp:contentStatus/>
</cp:coreProperties>
</file>