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0" windowWidth="15480" windowHeight="11580" firstSheet="6" activeTab="6"/>
  </bookViews>
  <sheets>
    <sheet name="отчет 2009" sheetId="1" state="hidden" r:id="rId1"/>
    <sheet name="отчет 2010" sheetId="2" state="hidden" r:id="rId2"/>
    <sheet name="смета 2011" sheetId="3" state="hidden" r:id="rId3"/>
    <sheet name="отчет 2011" sheetId="4" state="hidden" r:id="rId4"/>
    <sheet name="смета 2012" sheetId="5" state="hidden" r:id="rId5"/>
    <sheet name="смета 07 12г" sheetId="6" state="hidden" r:id="rId6"/>
    <sheet name="отчет12(01-09)" sheetId="7" r:id="rId7"/>
    <sheet name="накопит отчет" sheetId="8" state="hidden" r:id="rId8"/>
  </sheets>
  <definedNames/>
  <calcPr fullCalcOnLoad="1"/>
</workbook>
</file>

<file path=xl/sharedStrings.xml><?xml version="1.0" encoding="utf-8"?>
<sst xmlns="http://schemas.openxmlformats.org/spreadsheetml/2006/main" count="638" uniqueCount="198">
  <si>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</si>
  <si>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</si>
  <si>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</si>
  <si>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</si>
  <si>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</si>
  <si>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</si>
  <si>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</si>
  <si>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</si>
  <si>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</si>
  <si>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</si>
  <si>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</si>
  <si>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</si>
  <si>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</si>
  <si>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</si>
  <si>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</si>
  <si>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</si>
  <si>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</si>
  <si>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</si>
  <si>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</si>
  <si>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</si>
  <si>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</si>
  <si>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</si>
  <si>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</si>
  <si>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</si>
  <si>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</si>
  <si>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</si>
  <si>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</si>
  <si>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</si>
  <si>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</si>
  <si>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</si>
  <si>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</si>
  <si>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</si>
  <si>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</si>
  <si>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</si>
  <si>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</si>
  <si>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</si>
  <si>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</si>
  <si>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</si>
  <si>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</si>
  <si>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</si>
  <si>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</si>
  <si>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</si>
  <si>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</si>
  <si>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</si>
  <si>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</si>
  <si>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</si>
  <si>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</si>
  <si>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</si>
  <si>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</si>
  <si>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</si>
  <si>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</si>
  <si>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</si>
  <si>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</si>
  <si>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</si>
  <si>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</si>
  <si>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</si>
  <si>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</si>
  <si>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</si>
  <si>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</si>
  <si>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</si>
  <si>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</si>
  <si>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</si>
  <si>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</si>
  <si>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</si>
  <si>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</si>
  <si>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</si>
  <si>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</si>
  <si>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</si>
  <si>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</si>
  <si>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</si>
  <si>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</si>
  <si>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</si>
  <si>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</si>
  <si>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</si>
  <si>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</si>
  <si>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</si>
  <si>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</si>
  <si>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</si>
  <si>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</si>
  <si>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</si>
  <si>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</si>
  <si>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</si>
  <si>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</si>
  <si>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>нет</t>
  </si>
  <si>
    <t>ОТЧЕТ
за  2009 г. о выполненнии условий  договора управления МКД
№216/6 от 28.03.2008 г., заключенного между ООО "ОЖКС №6" 
и собственниками многоквартирного дома
по адресу: ул. М. Жукова, 7 А</t>
  </si>
  <si>
    <t xml:space="preserve">                    Представитель собственников  - старший по дому Холодов Б.А.,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</si>
  <si>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ул. М.Жукова, 7 А</t>
  </si>
  <si>
    <t>Старший по дому                                                                            Б.А. Холодов</t>
  </si>
  <si>
    <t>Претензий по управлению нет (да)</t>
  </si>
  <si>
    <t>кв.м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</si>
  <si>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</si>
  <si>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</si>
  <si>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</si>
  <si>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</si>
  <si>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</si>
  <si>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</si>
  <si>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</si>
  <si>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</si>
  <si>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</si>
  <si>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</si>
  <si>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</si>
  <si>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</si>
  <si>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</si>
  <si>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</si>
  <si>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</si>
  <si>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</si>
  <si>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</si>
  <si>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</si>
  <si>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</si>
  <si>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</si>
  <si>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</si>
  <si>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</si>
  <si>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</si>
  <si>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</si>
  <si>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</si>
  <si>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</si>
  <si>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</si>
  <si>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</si>
  <si>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</si>
  <si>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</si>
  <si>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</si>
  <si>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</si>
  <si>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</si>
  <si>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</si>
  <si>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</si>
  <si>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</si>
  <si>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</si>
  <si>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</si>
  <si>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</si>
  <si>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</si>
  <si>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</si>
  <si>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</si>
  <si>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</si>
  <si>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</si>
  <si>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</si>
  <si>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</si>
  <si>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</si>
  <si>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</si>
  <si>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</si>
  <si>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</si>
  <si>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</si>
  <si>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</si>
  <si>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</si>
  <si>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</si>
  <si>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</si>
  <si>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</si>
  <si>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</si>
  <si>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</si>
  <si>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</si>
  <si>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</si>
  <si>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</si>
  <si>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2013г</t>
  </si>
  <si>
    <t>Тариф на 
1 кв.м.
руб.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</si>
  <si>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</si>
  <si>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</si>
  <si>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</si>
  <si>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</si>
  <si>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</si>
  <si>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>ОТЧЕТ
за  2010 г. о выполненнии условий  договора управления МКД 
№216/6 от 28.03.2008 г., заключенного между ООО "ОЖКС №6" 
и собственниками многоквартирного дома
по адресу: ул. М. Жукова, 7 А</t>
  </si>
  <si>
    <t xml:space="preserve">                    Представитель собственников  - старший по дому Холодов Б.А.,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2010 году.  </t>
  </si>
  <si>
    <t>ОТЧЕТ
по  договору управления МКД 
№216/6 от 28.03.2008 г., заключенного между ООО "ОЖКС №6" 
и собственниками многоквартирного дома
по адресу: ул. М. Жукова, 7 А</t>
  </si>
  <si>
    <t>Смета 
доходов и расходов на  2011 г. согласно договора управления МКД 
№216/6 от 28.03.2008 г., заключенного между ООО "ОЖКС №6" 
и собственниками многоквартирного дома
по адресу: ул. М. Жукова, 7 А</t>
  </si>
  <si>
    <t>Итого</t>
  </si>
  <si>
    <t>результат
 за год
(+эконом., 
-перерасх.)</t>
  </si>
  <si>
    <t>Сбор, вывоз  бытового мусора, содержание  контейнерных площадок</t>
  </si>
  <si>
    <t>Сбор, вывоз  бытового мусора, содержание   контейнерных площадок</t>
  </si>
  <si>
    <t>ОТЧЕТ
за  2011 г. о выполненнии условий  договора управления МКД 
№216/6 от 28.03.2008 г., заключенного между ООО "ОЖКС №6" 
и собственниками многоквартирного дома
по адресу: ул. М. Жукова, 7 А</t>
  </si>
  <si>
    <t xml:space="preserve">                    Представитель собственников  - старший по дому ______________________________.,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2011 году.  </t>
  </si>
  <si>
    <t>Старший по дому                                                                           ______________________________________</t>
  </si>
  <si>
    <t xml:space="preserve">Финансовый результат за 2011г. (+ экономия,- перерасход)                                                      </t>
  </si>
  <si>
    <t>Смета 
доходов и расходов на  2012 г. согласно договора управления МКД 
№216/6 от 28.03.2008 г., заключенного между ООО "ОЖКС №6" 
и собственниками многоквартирного дома
по адресу: ул. М. Жукова, 7 А</t>
  </si>
  <si>
    <t xml:space="preserve"> Текущий ремонт общего имущества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</si>
  <si>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</si>
  <si>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</si>
  <si>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По заявлению жителей в подъезде № 1 кв. 1-36  уборка лестнечних клеток непроизводится с 01.08.11г</t>
  </si>
  <si>
    <t>Расчет стоимости договора и тарифа 1 м2 на 2012г.</t>
  </si>
  <si>
    <t xml:space="preserve">         Приложение №7 к Договору на оказание услуг и  выполнение работ по содержанию, текущему и   
капитальному ремонту общего имущества                                                                 
 МКД № ___ от "____"___________2012г.</t>
  </si>
  <si>
    <t xml:space="preserve">Директор ООО "Октябрьский ЖКС № 6"                       </t>
  </si>
  <si>
    <t xml:space="preserve">                       Представитель Собственников</t>
  </si>
  <si>
    <t>_________________ Л.И. Никашина</t>
  </si>
  <si>
    <t xml:space="preserve">                           ________________________</t>
  </si>
  <si>
    <t>Тариф с 1 июля 2012 г. - 15,36 руб., капитальный ремонт - 0,80 руб.</t>
  </si>
  <si>
    <t>по плану работ</t>
  </si>
  <si>
    <t>72, 1 нежилое помещение</t>
  </si>
  <si>
    <t>ОТЧЕТ
с 01.01.12г. по 30.09.12г. о выполненнии условий  договора управления МКД 
№216/6 от 28.03.2008 г., заключенного между ООО "ОЖКС №6" 
и собственниками многоквартирного дома
по адресу: ул. М. Жукова, 7 А</t>
  </si>
  <si>
    <t xml:space="preserve">                    Представитель собственников  - старший по дому ______________________________.,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с 01.01.12г. по 30.09.12г.</t>
  </si>
  <si>
    <t>S жилых и нежилых помещений, кв.м</t>
  </si>
  <si>
    <t>Тариф 01.01.12г-30.06.12г</t>
  </si>
  <si>
    <t>Тариф 01.07.12г.-30.09.12г.</t>
  </si>
  <si>
    <t>Сумма 
с 01.01.12г по 30.09.12г.,
 руб.</t>
  </si>
  <si>
    <t>кол-во мес. по дог. управления</t>
  </si>
  <si>
    <t xml:space="preserve"> - прочие доходы </t>
  </si>
  <si>
    <t>Сбор, вывоз бытового мусора</t>
  </si>
  <si>
    <t>подметание асфальта -   1 раз/неделю,                
подбор мусора - ежедневно</t>
  </si>
  <si>
    <t xml:space="preserve">Финансовый результат за с 01.01.12г. по 30.09.12г. (+ экономия,- перерасход)                                                      </t>
  </si>
  <si>
    <t xml:space="preserve">Директор ООО "ОЖКС № 6"                                            Л.И. Никашина                               </t>
  </si>
  <si>
    <t>Старший по дому                                                                  ________________________</t>
  </si>
  <si>
    <t>Исполнитель: Стыценкова И.А.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</si>
</sst>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_ ;[Red]\-#,##0.000\ "/>
    <numFmt numFmtId="171" formatCode="#,##0.0_ ;[Red]\-#,##0.0\ "/>
    <numFmt numFmtId="172" formatCode="#,##0_ ;[Red]\-#,##0\ "/>
  </numFmts>
  <fonts count="28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5" borderId="0" xfId="0" applyNumberFormat="1" applyFont="1" applyFill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6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8">
      <selection activeCell="B43" sqref="B4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2.625" style="0" customWidth="1"/>
    <col min="9" max="9" width="9.875" style="0" bestFit="1" customWidth="1"/>
  </cols>
  <sheetData>
    <row r="1" spans="1:8" ht="121.5" customHeight="1">
      <c r="A1" s="129" t="s">
        <v>84</v>
      </c>
      <c r="B1" s="129"/>
      <c r="C1" s="129"/>
      <c r="D1" s="129"/>
      <c r="E1" s="129"/>
      <c r="F1" s="129"/>
      <c r="G1" s="129"/>
      <c r="H1" s="129"/>
    </row>
    <row r="2" spans="1:8" ht="78" customHeight="1">
      <c r="A2" s="121" t="s">
        <v>85</v>
      </c>
      <c r="B2" s="121"/>
      <c r="C2" s="121"/>
      <c r="D2" s="121"/>
      <c r="E2" s="121"/>
      <c r="F2" s="121"/>
      <c r="G2" s="121"/>
      <c r="H2" s="121"/>
    </row>
    <row r="3" spans="1:6" ht="18.75">
      <c r="A3" s="1" t="s">
        <v>77</v>
      </c>
      <c r="B3" s="1" t="s">
        <v>86</v>
      </c>
      <c r="C3" s="2"/>
      <c r="D3" s="2" t="s">
        <v>0</v>
      </c>
      <c r="E3" s="4">
        <v>3711.1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72</v>
      </c>
      <c r="F4" s="2"/>
    </row>
    <row r="5" spans="2:7" ht="15.75">
      <c r="B5" s="3" t="s">
        <v>3</v>
      </c>
      <c r="C5" s="4">
        <v>2</v>
      </c>
      <c r="D5" s="2" t="s">
        <v>4</v>
      </c>
      <c r="E5" s="2" t="s">
        <v>83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122"/>
      <c r="C7" s="122"/>
      <c r="D7" s="122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123" t="s">
        <v>64</v>
      </c>
      <c r="C8" s="124"/>
      <c r="D8" s="124"/>
      <c r="E8" s="124"/>
      <c r="F8" s="147"/>
      <c r="G8" s="15"/>
      <c r="H8" s="16"/>
    </row>
    <row r="9" spans="1:8" ht="15.75" customHeight="1">
      <c r="A9" s="23"/>
      <c r="B9" s="140" t="s">
        <v>73</v>
      </c>
      <c r="C9" s="140"/>
      <c r="D9" s="140"/>
      <c r="E9" s="140"/>
      <c r="F9" s="140"/>
      <c r="G9" s="15"/>
      <c r="H9" s="32">
        <v>47826.42</v>
      </c>
    </row>
    <row r="10" spans="1:8" ht="15.75">
      <c r="A10" s="23">
        <v>1</v>
      </c>
      <c r="B10" s="132" t="s">
        <v>62</v>
      </c>
      <c r="C10" s="132"/>
      <c r="D10" s="132"/>
      <c r="E10" s="132"/>
      <c r="F10" s="132"/>
      <c r="G10" s="17"/>
      <c r="H10" s="35">
        <v>557714.8</v>
      </c>
    </row>
    <row r="11" spans="1:8" ht="15.75">
      <c r="A11" s="23"/>
      <c r="B11" s="132" t="s">
        <v>75</v>
      </c>
      <c r="C11" s="132"/>
      <c r="D11" s="132"/>
      <c r="E11" s="132"/>
      <c r="F11" s="132"/>
      <c r="G11" s="17"/>
      <c r="H11" s="49">
        <f>H10*0.9</f>
        <v>501943.32000000007</v>
      </c>
    </row>
    <row r="12" spans="1:8" ht="15.75">
      <c r="A12" s="23"/>
      <c r="B12" s="132" t="s">
        <v>76</v>
      </c>
      <c r="C12" s="132"/>
      <c r="D12" s="132"/>
      <c r="E12" s="132"/>
      <c r="F12" s="132"/>
      <c r="G12" s="17"/>
      <c r="H12" s="36">
        <f>H10-H11</f>
        <v>55771.47999999998</v>
      </c>
    </row>
    <row r="13" spans="1:8" ht="15.75">
      <c r="A13" s="23">
        <v>2</v>
      </c>
      <c r="B13" s="132" t="s">
        <v>63</v>
      </c>
      <c r="C13" s="132"/>
      <c r="D13" s="132"/>
      <c r="E13" s="132"/>
      <c r="F13" s="132"/>
      <c r="G13" s="17"/>
      <c r="H13" s="18">
        <v>524428.83</v>
      </c>
    </row>
    <row r="14" spans="1:8" ht="15.75">
      <c r="A14" s="23">
        <v>3</v>
      </c>
      <c r="B14" s="132" t="s">
        <v>67</v>
      </c>
      <c r="C14" s="132"/>
      <c r="D14" s="132"/>
      <c r="E14" s="132"/>
      <c r="F14" s="132"/>
      <c r="G14" s="17"/>
      <c r="H14" s="36">
        <f>H10-H13</f>
        <v>33285.97000000009</v>
      </c>
    </row>
    <row r="15" spans="1:9" ht="15.75">
      <c r="A15" s="23">
        <v>4</v>
      </c>
      <c r="B15" s="140" t="s">
        <v>74</v>
      </c>
      <c r="C15" s="140"/>
      <c r="D15" s="140"/>
      <c r="E15" s="140"/>
      <c r="F15" s="140"/>
      <c r="G15" s="17"/>
      <c r="H15" s="37">
        <f>H9+H10-H13</f>
        <v>81112.39000000013</v>
      </c>
      <c r="I15" s="31"/>
    </row>
    <row r="16" spans="1:8" ht="18.75">
      <c r="A16" s="23">
        <v>5</v>
      </c>
      <c r="B16" s="142" t="s">
        <v>65</v>
      </c>
      <c r="C16" s="142"/>
      <c r="D16" s="142"/>
      <c r="E16" s="142"/>
      <c r="F16" s="142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146" t="s">
        <v>18</v>
      </c>
      <c r="C18" s="146"/>
      <c r="D18" s="146"/>
      <c r="E18" s="6" t="s">
        <v>32</v>
      </c>
      <c r="F18" s="6" t="s">
        <v>24</v>
      </c>
      <c r="G18" s="12">
        <v>1.06</v>
      </c>
      <c r="H18" s="39">
        <f>ROUND(G18*$E$3*12,2)</f>
        <v>47205.19</v>
      </c>
    </row>
    <row r="19" spans="1:8" ht="15.75">
      <c r="A19" s="23" t="s">
        <v>41</v>
      </c>
      <c r="B19" s="146" t="s">
        <v>17</v>
      </c>
      <c r="C19" s="146"/>
      <c r="D19" s="146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11578.63</v>
      </c>
    </row>
    <row r="20" spans="1:8" ht="15.75">
      <c r="A20" s="26" t="s">
        <v>42</v>
      </c>
      <c r="B20" s="132" t="s">
        <v>23</v>
      </c>
      <c r="C20" s="132"/>
      <c r="D20" s="132"/>
      <c r="E20" s="7" t="s">
        <v>8</v>
      </c>
      <c r="F20" s="7" t="s">
        <v>20</v>
      </c>
      <c r="G20" s="12">
        <v>0.9</v>
      </c>
      <c r="H20" s="39">
        <f t="shared" si="0"/>
        <v>40079.88</v>
      </c>
    </row>
    <row r="21" spans="1:8" ht="33" customHeight="1">
      <c r="A21" s="23" t="s">
        <v>43</v>
      </c>
      <c r="B21" s="120" t="s">
        <v>31</v>
      </c>
      <c r="C21" s="120"/>
      <c r="D21" s="120"/>
      <c r="E21" s="8" t="s">
        <v>9</v>
      </c>
      <c r="F21" s="8" t="s">
        <v>10</v>
      </c>
      <c r="G21" s="12">
        <v>0.46</v>
      </c>
      <c r="H21" s="39">
        <f t="shared" si="0"/>
        <v>20485.27</v>
      </c>
    </row>
    <row r="22" spans="1:8" ht="63">
      <c r="A22" s="26" t="s">
        <v>46</v>
      </c>
      <c r="B22" s="132" t="s">
        <v>27</v>
      </c>
      <c r="C22" s="132"/>
      <c r="D22" s="132"/>
      <c r="E22" s="7" t="s">
        <v>34</v>
      </c>
      <c r="F22" s="7" t="s">
        <v>25</v>
      </c>
      <c r="G22" s="12">
        <v>0.11</v>
      </c>
      <c r="H22" s="39">
        <f t="shared" si="0"/>
        <v>4898.65</v>
      </c>
    </row>
    <row r="23" spans="1:8" ht="31.5">
      <c r="A23" s="23" t="s">
        <v>44</v>
      </c>
      <c r="B23" s="132" t="s">
        <v>11</v>
      </c>
      <c r="C23" s="132"/>
      <c r="D23" s="132"/>
      <c r="E23" s="7" t="s">
        <v>9</v>
      </c>
      <c r="F23" s="7" t="s">
        <v>12</v>
      </c>
      <c r="G23" s="12">
        <v>1.89</v>
      </c>
      <c r="H23" s="39">
        <f t="shared" si="0"/>
        <v>84167.75</v>
      </c>
    </row>
    <row r="24" spans="1:8" ht="15.75">
      <c r="A24" s="26" t="s">
        <v>45</v>
      </c>
      <c r="B24" s="132" t="s">
        <v>26</v>
      </c>
      <c r="C24" s="133"/>
      <c r="D24" s="133"/>
      <c r="E24" s="9" t="s">
        <v>13</v>
      </c>
      <c r="F24" s="9" t="s">
        <v>14</v>
      </c>
      <c r="G24" s="12">
        <v>0.04</v>
      </c>
      <c r="H24" s="39">
        <f t="shared" si="0"/>
        <v>1781.33</v>
      </c>
    </row>
    <row r="25" spans="1:8" ht="36.75" customHeight="1">
      <c r="A25" s="23" t="s">
        <v>47</v>
      </c>
      <c r="B25" s="143" t="s">
        <v>81</v>
      </c>
      <c r="C25" s="144"/>
      <c r="D25" s="145"/>
      <c r="E25" s="9" t="s">
        <v>13</v>
      </c>
      <c r="F25" s="45" t="s">
        <v>82</v>
      </c>
      <c r="G25" s="12">
        <v>0.22</v>
      </c>
      <c r="H25" s="39">
        <f t="shared" si="0"/>
        <v>9797.3</v>
      </c>
    </row>
    <row r="26" spans="1:8" ht="31.5">
      <c r="A26" s="26" t="s">
        <v>48</v>
      </c>
      <c r="B26" s="132" t="s">
        <v>71</v>
      </c>
      <c r="C26" s="132"/>
      <c r="D26" s="132"/>
      <c r="E26" s="6" t="s">
        <v>35</v>
      </c>
      <c r="F26" s="46" t="s">
        <v>82</v>
      </c>
      <c r="G26" s="12">
        <v>2.5</v>
      </c>
      <c r="H26" s="39">
        <f t="shared" si="0"/>
        <v>111333</v>
      </c>
    </row>
    <row r="27" spans="1:8" ht="31.5">
      <c r="A27" s="23" t="s">
        <v>49</v>
      </c>
      <c r="B27" s="146" t="s">
        <v>15</v>
      </c>
      <c r="C27" s="146"/>
      <c r="D27" s="146"/>
      <c r="E27" s="6" t="s">
        <v>35</v>
      </c>
      <c r="F27" s="46" t="s">
        <v>82</v>
      </c>
      <c r="G27" s="12">
        <v>0.46</v>
      </c>
      <c r="H27" s="39">
        <f t="shared" si="0"/>
        <v>20485.27</v>
      </c>
    </row>
    <row r="28" spans="1:8" ht="31.5">
      <c r="A28" s="26" t="s">
        <v>50</v>
      </c>
      <c r="B28" s="126" t="s">
        <v>36</v>
      </c>
      <c r="C28" s="127"/>
      <c r="D28" s="127"/>
      <c r="E28" s="6" t="s">
        <v>35</v>
      </c>
      <c r="F28" s="46" t="s">
        <v>82</v>
      </c>
      <c r="G28" s="48">
        <f>2.14-G29-G30</f>
        <v>1.8900000000000001</v>
      </c>
      <c r="H28" s="39">
        <f t="shared" si="0"/>
        <v>84167.75</v>
      </c>
    </row>
    <row r="29" spans="1:8" ht="31.5">
      <c r="A29" s="23" t="s">
        <v>51</v>
      </c>
      <c r="B29" s="132" t="s">
        <v>28</v>
      </c>
      <c r="C29" s="132"/>
      <c r="D29" s="132"/>
      <c r="E29" s="6" t="s">
        <v>35</v>
      </c>
      <c r="F29" s="46" t="s">
        <v>82</v>
      </c>
      <c r="G29" s="13">
        <v>0.25</v>
      </c>
      <c r="H29" s="39">
        <f t="shared" si="0"/>
        <v>11133.3</v>
      </c>
    </row>
    <row r="30" spans="1:8" ht="31.5">
      <c r="A30" s="26" t="s">
        <v>52</v>
      </c>
      <c r="B30" s="132" t="s">
        <v>29</v>
      </c>
      <c r="C30" s="132"/>
      <c r="D30" s="132"/>
      <c r="E30" s="6" t="s">
        <v>35</v>
      </c>
      <c r="F30" s="46" t="s">
        <v>82</v>
      </c>
      <c r="G30" s="13">
        <v>0</v>
      </c>
      <c r="H30" s="39">
        <f t="shared" si="0"/>
        <v>0</v>
      </c>
    </row>
    <row r="31" spans="1:8" ht="31.5">
      <c r="A31" s="23" t="s">
        <v>53</v>
      </c>
      <c r="B31" s="133" t="s">
        <v>21</v>
      </c>
      <c r="C31" s="133"/>
      <c r="D31" s="133"/>
      <c r="E31" s="6" t="s">
        <v>35</v>
      </c>
      <c r="F31" s="46" t="s">
        <v>82</v>
      </c>
      <c r="G31" s="9">
        <v>1.26</v>
      </c>
      <c r="H31" s="39">
        <f t="shared" si="0"/>
        <v>56111.83</v>
      </c>
    </row>
    <row r="32" spans="1:8" ht="15.75">
      <c r="A32" s="23" t="s">
        <v>54</v>
      </c>
      <c r="B32" s="131" t="s">
        <v>30</v>
      </c>
      <c r="C32" s="131"/>
      <c r="D32" s="131"/>
      <c r="E32" s="14"/>
      <c r="F32" s="46"/>
      <c r="G32" s="21">
        <f>SUM(G18:G31)</f>
        <v>11.299999999999999</v>
      </c>
      <c r="H32" s="40">
        <f>SUM(H18:H31)</f>
        <v>503225.15</v>
      </c>
    </row>
    <row r="33" spans="1:8" ht="15.75">
      <c r="A33" s="23" t="s">
        <v>55</v>
      </c>
      <c r="B33" s="140" t="s">
        <v>37</v>
      </c>
      <c r="C33" s="133"/>
      <c r="D33" s="133"/>
      <c r="E33" s="14"/>
      <c r="F33" s="46" t="s">
        <v>82</v>
      </c>
      <c r="G33" s="24">
        <f>H33/E3/12</f>
        <v>9.601825155165136</v>
      </c>
      <c r="H33" s="28">
        <v>427600</v>
      </c>
    </row>
    <row r="34" spans="1:8" ht="18.75">
      <c r="A34" s="25" t="s">
        <v>56</v>
      </c>
      <c r="B34" s="141" t="s">
        <v>69</v>
      </c>
      <c r="C34" s="141"/>
      <c r="D34" s="141"/>
      <c r="E34" s="141"/>
      <c r="F34" s="141"/>
      <c r="G34" s="5">
        <f>SUM(G32:G33)</f>
        <v>20.901825155165135</v>
      </c>
      <c r="H34" s="41">
        <f>SUM(H32:H33)</f>
        <v>930825.15</v>
      </c>
    </row>
    <row r="35" spans="1:8" ht="18.75">
      <c r="A35" s="23" t="s">
        <v>61</v>
      </c>
      <c r="B35" s="137" t="s">
        <v>38</v>
      </c>
      <c r="C35" s="138"/>
      <c r="D35" s="138"/>
      <c r="E35" s="138"/>
      <c r="F35" s="138"/>
      <c r="G35" s="139"/>
      <c r="H35" s="29"/>
    </row>
    <row r="36" spans="1:8" ht="15.75" customHeight="1">
      <c r="A36" s="23" t="s">
        <v>57</v>
      </c>
      <c r="B36" s="134" t="s">
        <v>68</v>
      </c>
      <c r="C36" s="135"/>
      <c r="D36" s="135"/>
      <c r="E36" s="135"/>
      <c r="F36" s="135"/>
      <c r="G36" s="136"/>
      <c r="H36" s="30">
        <v>2759.9</v>
      </c>
    </row>
    <row r="37" spans="1:8" ht="15.75" customHeight="1">
      <c r="A37" s="23" t="s">
        <v>58</v>
      </c>
      <c r="B37" s="134" t="s">
        <v>72</v>
      </c>
      <c r="C37" s="135"/>
      <c r="D37" s="135"/>
      <c r="E37" s="135"/>
      <c r="F37" s="135"/>
      <c r="G37" s="136"/>
      <c r="H37" s="42">
        <f>H13-H34</f>
        <v>-406396.32000000007</v>
      </c>
    </row>
    <row r="38" spans="1:8" ht="15.75" customHeight="1">
      <c r="A38" s="23" t="s">
        <v>59</v>
      </c>
      <c r="B38" s="134" t="s">
        <v>70</v>
      </c>
      <c r="C38" s="135"/>
      <c r="D38" s="135"/>
      <c r="E38" s="135"/>
      <c r="F38" s="135"/>
      <c r="G38" s="136"/>
      <c r="H38" s="42">
        <f>H36+H37</f>
        <v>-403636.42000000004</v>
      </c>
    </row>
    <row r="39" spans="2:6" ht="28.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47" t="s">
        <v>87</v>
      </c>
      <c r="C43" s="47"/>
      <c r="D43" s="44"/>
    </row>
    <row r="44" spans="2:4" ht="15.75" customHeight="1">
      <c r="B44" s="130" t="s">
        <v>88</v>
      </c>
      <c r="C44" s="130"/>
      <c r="D44" s="130"/>
    </row>
  </sheetData>
  <sheetProtection/>
  <mergeCells count="34">
    <mergeCell ref="A2:H2"/>
    <mergeCell ref="A1:H1"/>
    <mergeCell ref="B7:D7"/>
    <mergeCell ref="B8:F8"/>
    <mergeCell ref="B18:D18"/>
    <mergeCell ref="B11:F11"/>
    <mergeCell ref="B12:F12"/>
    <mergeCell ref="B10:F10"/>
    <mergeCell ref="B13:F13"/>
    <mergeCell ref="B14:F14"/>
    <mergeCell ref="B21:D21"/>
    <mergeCell ref="B22:D22"/>
    <mergeCell ref="B19:D19"/>
    <mergeCell ref="B20:D20"/>
    <mergeCell ref="B31:D31"/>
    <mergeCell ref="B9:F9"/>
    <mergeCell ref="B16:F16"/>
    <mergeCell ref="B29:D29"/>
    <mergeCell ref="B30:D30"/>
    <mergeCell ref="B25:D25"/>
    <mergeCell ref="B26:D26"/>
    <mergeCell ref="B27:D27"/>
    <mergeCell ref="B28:D28"/>
    <mergeCell ref="B15:F15"/>
    <mergeCell ref="B44:D44"/>
    <mergeCell ref="B32:D32"/>
    <mergeCell ref="B23:D23"/>
    <mergeCell ref="B24:D24"/>
    <mergeCell ref="B38:G38"/>
    <mergeCell ref="B35:G35"/>
    <mergeCell ref="B33:D33"/>
    <mergeCell ref="B34:F34"/>
    <mergeCell ref="B36:G36"/>
    <mergeCell ref="B37:G37"/>
  </mergeCells>
  <printOptions/>
  <pageMargins left="0.54" right="0.31" top="0.5" bottom="0.25" header="0.5" footer="0.27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B16">
      <selection activeCell="H25" sqref="H25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625" style="0" customWidth="1"/>
    <col min="6" max="6" width="18.00390625" style="0" hidden="1" customWidth="1"/>
    <col min="7" max="7" width="9.875" style="0" hidden="1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129" t="s">
        <v>158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54" customHeight="1">
      <c r="A2" s="168" t="s">
        <v>159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9" ht="18.75">
      <c r="A3" s="1" t="s">
        <v>77</v>
      </c>
      <c r="B3" s="1" t="s">
        <v>86</v>
      </c>
      <c r="C3" s="2"/>
      <c r="D3" s="2" t="s">
        <v>0</v>
      </c>
      <c r="E3" s="4">
        <v>3711.1</v>
      </c>
      <c r="F3" s="2"/>
      <c r="I3" s="68">
        <v>37.3</v>
      </c>
    </row>
    <row r="4" spans="2:9" ht="15.75">
      <c r="B4" s="3" t="s">
        <v>1</v>
      </c>
      <c r="C4" s="27">
        <v>9</v>
      </c>
      <c r="D4" s="2" t="s">
        <v>2</v>
      </c>
      <c r="E4" s="4">
        <v>72</v>
      </c>
      <c r="F4" s="2"/>
      <c r="I4" t="s">
        <v>89</v>
      </c>
    </row>
    <row r="5" spans="2:9" ht="15.75">
      <c r="B5" s="3" t="s">
        <v>3</v>
      </c>
      <c r="C5" s="4">
        <v>2</v>
      </c>
      <c r="D5" s="2" t="s">
        <v>4</v>
      </c>
      <c r="E5" s="2" t="s">
        <v>83</v>
      </c>
      <c r="F5" s="2"/>
      <c r="G5" s="2"/>
      <c r="I5" s="2" t="s">
        <v>96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97</v>
      </c>
    </row>
    <row r="7" spans="1:10" ht="39" customHeight="1">
      <c r="A7" s="22" t="s">
        <v>60</v>
      </c>
      <c r="B7" s="169" t="s">
        <v>98</v>
      </c>
      <c r="C7" s="170"/>
      <c r="D7" s="171"/>
      <c r="E7" s="11" t="s">
        <v>6</v>
      </c>
      <c r="F7" s="11" t="s">
        <v>7</v>
      </c>
      <c r="G7" s="33" t="s">
        <v>22</v>
      </c>
      <c r="H7" s="172" t="s">
        <v>99</v>
      </c>
      <c r="I7" s="173"/>
      <c r="J7" s="174"/>
    </row>
    <row r="8" spans="1:10" ht="15.75">
      <c r="A8" s="23">
        <v>1</v>
      </c>
      <c r="B8" s="123"/>
      <c r="C8" s="124"/>
      <c r="D8" s="124"/>
      <c r="E8" s="124"/>
      <c r="F8" s="147"/>
      <c r="G8" s="70"/>
      <c r="H8" s="71" t="s">
        <v>100</v>
      </c>
      <c r="I8" s="72" t="s">
        <v>101</v>
      </c>
      <c r="J8" s="72" t="s">
        <v>102</v>
      </c>
    </row>
    <row r="9" spans="1:10" ht="15.75">
      <c r="A9" s="23"/>
      <c r="B9" s="123" t="s">
        <v>103</v>
      </c>
      <c r="C9" s="124"/>
      <c r="D9" s="124"/>
      <c r="E9" s="124"/>
      <c r="F9" s="147"/>
      <c r="G9" s="59"/>
      <c r="H9" s="59"/>
      <c r="I9" s="52"/>
      <c r="J9" s="72"/>
    </row>
    <row r="10" spans="1:10" ht="15.75" customHeight="1">
      <c r="A10" s="73"/>
      <c r="B10" s="167" t="s">
        <v>104</v>
      </c>
      <c r="C10" s="167"/>
      <c r="D10" s="167"/>
      <c r="E10" s="167"/>
      <c r="F10" s="167"/>
      <c r="G10" s="15"/>
      <c r="H10" s="74">
        <v>580918.08</v>
      </c>
      <c r="I10" s="56"/>
      <c r="J10" s="75">
        <f>H10+I10</f>
        <v>580918.08</v>
      </c>
    </row>
    <row r="11" spans="1:10" ht="15.75" customHeight="1">
      <c r="A11" s="73"/>
      <c r="B11" s="167" t="s">
        <v>105</v>
      </c>
      <c r="C11" s="167"/>
      <c r="D11" s="167"/>
      <c r="E11" s="167"/>
      <c r="F11" s="167"/>
      <c r="G11" s="15"/>
      <c r="H11" s="16">
        <v>21795.2</v>
      </c>
      <c r="I11" s="56"/>
      <c r="J11" s="75">
        <f>H11+I11</f>
        <v>21795.2</v>
      </c>
    </row>
    <row r="12" spans="1:10" ht="15.75" customHeight="1">
      <c r="A12" s="23"/>
      <c r="B12" s="167" t="s">
        <v>106</v>
      </c>
      <c r="C12" s="167"/>
      <c r="D12" s="167"/>
      <c r="E12" s="167"/>
      <c r="F12" s="167"/>
      <c r="G12" s="15"/>
      <c r="H12" s="74"/>
      <c r="I12" s="56">
        <v>4994.6</v>
      </c>
      <c r="J12" s="75">
        <f>H12+I12</f>
        <v>4994.6</v>
      </c>
    </row>
    <row r="13" spans="1:10" ht="15.75" customHeight="1">
      <c r="A13" s="23"/>
      <c r="B13" s="167" t="s">
        <v>107</v>
      </c>
      <c r="C13" s="167"/>
      <c r="D13" s="167"/>
      <c r="E13" s="167"/>
      <c r="F13" s="167"/>
      <c r="G13" s="15"/>
      <c r="H13" s="74"/>
      <c r="I13" s="76">
        <v>0</v>
      </c>
      <c r="J13" s="75">
        <f>H13+I13</f>
        <v>0</v>
      </c>
    </row>
    <row r="14" spans="1:10" ht="15.75" customHeight="1">
      <c r="A14" s="23"/>
      <c r="B14" s="140" t="s">
        <v>108</v>
      </c>
      <c r="C14" s="140"/>
      <c r="D14" s="140"/>
      <c r="E14" s="140"/>
      <c r="F14" s="140"/>
      <c r="G14" s="15"/>
      <c r="H14" s="77">
        <f>SUM(H10:H12)</f>
        <v>602713.2799999999</v>
      </c>
      <c r="I14" s="78">
        <f>SUM(I10:I12)</f>
        <v>4994.6</v>
      </c>
      <c r="J14" s="77">
        <f>SUM(J10:J12)</f>
        <v>607707.8799999999</v>
      </c>
    </row>
    <row r="15" spans="1:10" ht="18.75" customHeight="1">
      <c r="A15" s="23">
        <v>2</v>
      </c>
      <c r="B15" s="142" t="s">
        <v>65</v>
      </c>
      <c r="C15" s="142"/>
      <c r="D15" s="142"/>
      <c r="E15" s="142"/>
      <c r="F15" s="142"/>
      <c r="G15" s="15"/>
      <c r="H15" s="74"/>
      <c r="I15" s="56"/>
      <c r="J15" s="35"/>
    </row>
    <row r="16" spans="1:10" ht="15.75">
      <c r="A16" s="23" t="s">
        <v>109</v>
      </c>
      <c r="B16" s="19" t="s">
        <v>66</v>
      </c>
      <c r="C16" s="19"/>
      <c r="D16" s="19"/>
      <c r="E16" s="19"/>
      <c r="F16" s="5"/>
      <c r="G16" s="71"/>
      <c r="H16" s="71"/>
      <c r="I16" s="69"/>
      <c r="J16" s="72"/>
    </row>
    <row r="17" spans="1:10" ht="30.75" customHeight="1">
      <c r="A17" s="26"/>
      <c r="B17" s="166" t="s">
        <v>164</v>
      </c>
      <c r="C17" s="166"/>
      <c r="D17" s="166"/>
      <c r="E17" s="79" t="s">
        <v>32</v>
      </c>
      <c r="F17" s="61" t="s">
        <v>24</v>
      </c>
      <c r="G17" s="62">
        <v>1.06</v>
      </c>
      <c r="H17" s="80">
        <f>ROUND(G17*$E$3*12,2)</f>
        <v>47205.19</v>
      </c>
      <c r="I17" s="81">
        <f>$I$12*0.08</f>
        <v>399.56800000000004</v>
      </c>
      <c r="J17" s="82">
        <f>SUM(H17:I17)</f>
        <v>47604.758</v>
      </c>
    </row>
    <row r="18" spans="1:10" ht="36" customHeight="1">
      <c r="A18" s="23"/>
      <c r="B18" s="163" t="s">
        <v>17</v>
      </c>
      <c r="C18" s="163"/>
      <c r="D18" s="163"/>
      <c r="E18" s="79" t="s">
        <v>32</v>
      </c>
      <c r="F18" s="61" t="s">
        <v>19</v>
      </c>
      <c r="G18" s="62">
        <v>0.26</v>
      </c>
      <c r="H18" s="80">
        <f>ROUND(G18*$E$3*12,2)</f>
        <v>11578.63</v>
      </c>
      <c r="I18" s="81">
        <f>$I$12*0.02</f>
        <v>99.89200000000001</v>
      </c>
      <c r="J18" s="82">
        <f>SUM(H18:I18)</f>
        <v>11678.521999999999</v>
      </c>
    </row>
    <row r="19" spans="1:10" ht="20.25" customHeight="1">
      <c r="A19" s="23"/>
      <c r="B19" s="165" t="s">
        <v>23</v>
      </c>
      <c r="C19" s="165"/>
      <c r="D19" s="165"/>
      <c r="E19" s="83" t="s">
        <v>110</v>
      </c>
      <c r="F19" s="64" t="s">
        <v>20</v>
      </c>
      <c r="G19" s="62">
        <v>0.9</v>
      </c>
      <c r="H19" s="80">
        <f>J19-I19</f>
        <v>50688.797999999995</v>
      </c>
      <c r="I19" s="81">
        <f>$I$12*0.07</f>
        <v>349.62200000000007</v>
      </c>
      <c r="J19" s="84">
        <v>51038.42</v>
      </c>
    </row>
    <row r="20" spans="1:10" ht="20.25" customHeight="1">
      <c r="A20" s="26"/>
      <c r="B20" s="166" t="s">
        <v>31</v>
      </c>
      <c r="C20" s="166"/>
      <c r="D20" s="166"/>
      <c r="E20" s="85" t="s">
        <v>9</v>
      </c>
      <c r="F20" s="65" t="s">
        <v>10</v>
      </c>
      <c r="G20" s="62">
        <v>0.46</v>
      </c>
      <c r="H20" s="80">
        <f>ROUND(G20*$E$3*12,2)</f>
        <v>20485.27</v>
      </c>
      <c r="I20" s="81">
        <f>$I$12*0.04</f>
        <v>199.78400000000002</v>
      </c>
      <c r="J20" s="82">
        <f>SUM(H20:I20)</f>
        <v>20685.054</v>
      </c>
    </row>
    <row r="21" spans="1:10" ht="65.25" customHeight="1">
      <c r="A21" s="23"/>
      <c r="B21" s="165" t="s">
        <v>27</v>
      </c>
      <c r="C21" s="165"/>
      <c r="D21" s="165"/>
      <c r="E21" s="83" t="s">
        <v>111</v>
      </c>
      <c r="F21" s="64" t="s">
        <v>25</v>
      </c>
      <c r="G21" s="62">
        <v>0.11</v>
      </c>
      <c r="H21" s="80">
        <f>J21-I21</f>
        <v>2707.654</v>
      </c>
      <c r="I21" s="81">
        <f>$I$12*0.01</f>
        <v>49.946000000000005</v>
      </c>
      <c r="J21" s="84">
        <v>2757.6</v>
      </c>
    </row>
    <row r="22" spans="1:10" ht="20.25" customHeight="1">
      <c r="A22" s="26"/>
      <c r="B22" s="165" t="s">
        <v>11</v>
      </c>
      <c r="C22" s="165"/>
      <c r="D22" s="165"/>
      <c r="E22" s="83" t="s">
        <v>9</v>
      </c>
      <c r="F22" s="64" t="s">
        <v>12</v>
      </c>
      <c r="G22" s="62">
        <v>1.93</v>
      </c>
      <c r="H22" s="80">
        <f>J22-I22</f>
        <v>125468.52</v>
      </c>
      <c r="I22" s="81">
        <f>$I$12*0.15</f>
        <v>749.19</v>
      </c>
      <c r="J22" s="84">
        <v>126217.71</v>
      </c>
    </row>
    <row r="23" spans="1:10" ht="31.5" customHeight="1">
      <c r="A23" s="26"/>
      <c r="B23" s="165" t="s">
        <v>26</v>
      </c>
      <c r="C23" s="159"/>
      <c r="D23" s="159"/>
      <c r="E23" s="86" t="s">
        <v>13</v>
      </c>
      <c r="F23" s="58" t="s">
        <v>14</v>
      </c>
      <c r="G23" s="62">
        <v>0.04</v>
      </c>
      <c r="H23" s="80">
        <f>J23-I23</f>
        <v>3681.4662</v>
      </c>
      <c r="I23" s="81">
        <f>$I$12*0.003</f>
        <v>14.983800000000002</v>
      </c>
      <c r="J23" s="84">
        <v>3696.45</v>
      </c>
    </row>
    <row r="24" spans="1:10" ht="28.5" customHeight="1">
      <c r="A24" s="23"/>
      <c r="B24" s="165" t="s">
        <v>71</v>
      </c>
      <c r="C24" s="165"/>
      <c r="D24" s="165"/>
      <c r="E24" s="79" t="s">
        <v>35</v>
      </c>
      <c r="F24" s="46" t="s">
        <v>82</v>
      </c>
      <c r="G24" s="62">
        <v>1.87</v>
      </c>
      <c r="H24" s="80">
        <f aca="true" t="shared" si="0" ref="H24:H29">ROUND(G24*$E$3*12,2)</f>
        <v>83277.08</v>
      </c>
      <c r="I24" s="81">
        <f>$I$12*0.19</f>
        <v>948.974</v>
      </c>
      <c r="J24" s="82">
        <f aca="true" t="shared" si="1" ref="J24:J29">SUM(H24:I24)</f>
        <v>84226.054</v>
      </c>
    </row>
    <row r="25" spans="1:10" ht="26.25" customHeight="1">
      <c r="A25" s="23"/>
      <c r="B25" s="163" t="s">
        <v>15</v>
      </c>
      <c r="C25" s="163"/>
      <c r="D25" s="163"/>
      <c r="E25" s="79" t="s">
        <v>35</v>
      </c>
      <c r="F25" s="46" t="s">
        <v>82</v>
      </c>
      <c r="G25" s="62">
        <v>0.46</v>
      </c>
      <c r="H25" s="87">
        <f t="shared" si="0"/>
        <v>20485.27</v>
      </c>
      <c r="I25" s="81">
        <v>0</v>
      </c>
      <c r="J25" s="82">
        <f t="shared" si="1"/>
        <v>20485.27</v>
      </c>
    </row>
    <row r="26" spans="1:10" ht="30" customHeight="1">
      <c r="A26" s="23"/>
      <c r="B26" s="164" t="s">
        <v>36</v>
      </c>
      <c r="C26" s="149"/>
      <c r="D26" s="150"/>
      <c r="E26" s="79" t="s">
        <v>35</v>
      </c>
      <c r="F26" s="46" t="s">
        <v>82</v>
      </c>
      <c r="G26" s="48">
        <f>2.99-G27-G28</f>
        <v>2.74</v>
      </c>
      <c r="H26" s="87">
        <f t="shared" si="0"/>
        <v>122020.97</v>
      </c>
      <c r="I26" s="88">
        <f>$I$12*(0.18+0.02)</f>
        <v>998.92</v>
      </c>
      <c r="J26" s="82">
        <f t="shared" si="1"/>
        <v>123019.89</v>
      </c>
    </row>
    <row r="27" spans="1:10" ht="26.25" customHeight="1">
      <c r="A27" s="26"/>
      <c r="B27" s="165" t="s">
        <v>112</v>
      </c>
      <c r="C27" s="165"/>
      <c r="D27" s="165"/>
      <c r="E27" s="79" t="s">
        <v>35</v>
      </c>
      <c r="F27" s="46" t="s">
        <v>82</v>
      </c>
      <c r="G27" s="48">
        <v>0.25</v>
      </c>
      <c r="H27" s="87">
        <f t="shared" si="0"/>
        <v>11133.3</v>
      </c>
      <c r="I27" s="88">
        <f>$I$12*0.02</f>
        <v>99.89200000000001</v>
      </c>
      <c r="J27" s="82">
        <f t="shared" si="1"/>
        <v>11233.192</v>
      </c>
    </row>
    <row r="28" spans="1:10" ht="28.5" customHeight="1">
      <c r="A28" s="23"/>
      <c r="B28" s="165" t="s">
        <v>113</v>
      </c>
      <c r="C28" s="165"/>
      <c r="D28" s="165"/>
      <c r="E28" s="83" t="s">
        <v>9</v>
      </c>
      <c r="F28" s="46" t="s">
        <v>82</v>
      </c>
      <c r="G28" s="48">
        <v>0</v>
      </c>
      <c r="H28" s="87">
        <f t="shared" si="0"/>
        <v>0</v>
      </c>
      <c r="I28" s="88">
        <v>0</v>
      </c>
      <c r="J28" s="82">
        <f t="shared" si="1"/>
        <v>0</v>
      </c>
    </row>
    <row r="29" spans="1:10" ht="27" customHeight="1">
      <c r="A29" s="23"/>
      <c r="B29" s="159" t="s">
        <v>21</v>
      </c>
      <c r="C29" s="159"/>
      <c r="D29" s="159"/>
      <c r="E29" s="83" t="s">
        <v>9</v>
      </c>
      <c r="F29" s="46" t="s">
        <v>82</v>
      </c>
      <c r="G29" s="58">
        <v>1.26</v>
      </c>
      <c r="H29" s="80">
        <f t="shared" si="0"/>
        <v>56111.83</v>
      </c>
      <c r="I29" s="81">
        <f>$I$12*0.1</f>
        <v>499.46000000000004</v>
      </c>
      <c r="J29" s="82">
        <f t="shared" si="1"/>
        <v>56611.29</v>
      </c>
    </row>
    <row r="30" spans="1:10" ht="21.75" customHeight="1">
      <c r="A30" s="23"/>
      <c r="B30" s="160" t="s">
        <v>114</v>
      </c>
      <c r="C30" s="161"/>
      <c r="D30" s="162"/>
      <c r="E30" s="83" t="s">
        <v>9</v>
      </c>
      <c r="F30" s="46"/>
      <c r="G30" s="58"/>
      <c r="H30" s="87"/>
      <c r="I30" s="76"/>
      <c r="J30" s="89"/>
    </row>
    <row r="31" spans="1:10" ht="27" customHeight="1">
      <c r="A31" s="23"/>
      <c r="B31" s="160" t="s">
        <v>115</v>
      </c>
      <c r="C31" s="161"/>
      <c r="D31" s="162"/>
      <c r="E31" s="79" t="s">
        <v>35</v>
      </c>
      <c r="F31" s="46"/>
      <c r="G31" s="58"/>
      <c r="H31" s="87"/>
      <c r="I31" s="76"/>
      <c r="J31" s="89"/>
    </row>
    <row r="32" spans="1:10" ht="15.75">
      <c r="A32" s="23"/>
      <c r="B32" s="148"/>
      <c r="C32" s="149"/>
      <c r="D32" s="150"/>
      <c r="E32" s="83"/>
      <c r="F32" s="46"/>
      <c r="G32" s="58"/>
      <c r="H32" s="87"/>
      <c r="I32" s="76"/>
      <c r="J32" s="89"/>
    </row>
    <row r="33" spans="1:10" ht="15.75">
      <c r="A33" s="23"/>
      <c r="B33" s="148"/>
      <c r="C33" s="149"/>
      <c r="D33" s="150"/>
      <c r="E33" s="83"/>
      <c r="F33" s="46"/>
      <c r="G33" s="58"/>
      <c r="H33" s="87"/>
      <c r="I33" s="76"/>
      <c r="J33" s="89"/>
    </row>
    <row r="34" spans="1:10" ht="15.75">
      <c r="A34" s="23"/>
      <c r="B34" s="131" t="s">
        <v>30</v>
      </c>
      <c r="C34" s="131"/>
      <c r="D34" s="131"/>
      <c r="E34" s="14"/>
      <c r="F34" s="46"/>
      <c r="G34" s="21">
        <f>SUM(G17:G29)</f>
        <v>11.34</v>
      </c>
      <c r="H34" s="40">
        <f>SUM(H17:H33)</f>
        <v>554843.9782</v>
      </c>
      <c r="I34" s="90">
        <f>SUM(I17:I33)</f>
        <v>4410.2318</v>
      </c>
      <c r="J34" s="40">
        <f>SUM(J17:J33)</f>
        <v>559254.2100000001</v>
      </c>
    </row>
    <row r="35" spans="1:10" ht="15" customHeight="1">
      <c r="A35" s="23" t="s">
        <v>116</v>
      </c>
      <c r="B35" s="151" t="s">
        <v>117</v>
      </c>
      <c r="C35" s="152"/>
      <c r="D35" s="152"/>
      <c r="E35" s="153"/>
      <c r="F35" s="46" t="s">
        <v>82</v>
      </c>
      <c r="G35" s="24">
        <f>H35/E3/12</f>
        <v>0.11676681666711576</v>
      </c>
      <c r="H35" s="28">
        <v>5200</v>
      </c>
      <c r="I35" s="91">
        <v>0</v>
      </c>
      <c r="J35" s="77">
        <f>SUM(H35:I35)</f>
        <v>5200</v>
      </c>
    </row>
    <row r="36" spans="1:10" ht="14.25" customHeight="1">
      <c r="A36" s="25"/>
      <c r="B36" s="154" t="s">
        <v>69</v>
      </c>
      <c r="C36" s="154"/>
      <c r="D36" s="154"/>
      <c r="E36" s="154"/>
      <c r="F36" s="154"/>
      <c r="G36" s="5">
        <f>SUM(G34:G35)</f>
        <v>11.456766816667116</v>
      </c>
      <c r="H36" s="41">
        <f>SUM(H34:H35)</f>
        <v>560043.9782</v>
      </c>
      <c r="I36" s="92">
        <f>SUM(I34:I35)</f>
        <v>4410.2318</v>
      </c>
      <c r="J36" s="41">
        <f>SUM(J34:J35)</f>
        <v>564454.2100000001</v>
      </c>
    </row>
    <row r="37" spans="1:10" ht="15.75">
      <c r="A37" s="23" t="s">
        <v>118</v>
      </c>
      <c r="B37" s="155" t="s">
        <v>119</v>
      </c>
      <c r="C37" s="155"/>
      <c r="D37" s="155"/>
      <c r="E37" s="155"/>
      <c r="F37" s="155"/>
      <c r="G37" s="93"/>
      <c r="H37" s="94">
        <v>0</v>
      </c>
      <c r="I37" s="94">
        <v>0</v>
      </c>
      <c r="J37" s="95">
        <f>SUM(H37:I37)</f>
        <v>0</v>
      </c>
    </row>
    <row r="38" spans="1:10" ht="15" customHeight="1">
      <c r="A38" s="25"/>
      <c r="B38" s="154" t="s">
        <v>120</v>
      </c>
      <c r="C38" s="154"/>
      <c r="D38" s="154"/>
      <c r="E38" s="154"/>
      <c r="F38" s="154"/>
      <c r="G38" s="5">
        <f>SUM(G36:G37)</f>
        <v>11.456766816667116</v>
      </c>
      <c r="H38" s="41">
        <f>SUM(H36:H37)</f>
        <v>560043.9782</v>
      </c>
      <c r="I38" s="92">
        <f>SUM(I36:I37)</f>
        <v>4410.2318</v>
      </c>
      <c r="J38" s="41">
        <f>SUM(J36:J37)</f>
        <v>564454.2100000001</v>
      </c>
    </row>
    <row r="39" spans="1:10" ht="15.75" customHeight="1">
      <c r="A39" s="23">
        <v>3</v>
      </c>
      <c r="B39" s="156" t="s">
        <v>121</v>
      </c>
      <c r="C39" s="157"/>
      <c r="D39" s="157"/>
      <c r="E39" s="157"/>
      <c r="F39" s="157"/>
      <c r="G39" s="158"/>
      <c r="H39" s="96">
        <f>H14-H38</f>
        <v>42669.3017999999</v>
      </c>
      <c r="I39" s="80">
        <f>I14-I38</f>
        <v>584.3682000000008</v>
      </c>
      <c r="J39" s="97">
        <f>J14-J38</f>
        <v>43253.66999999981</v>
      </c>
    </row>
    <row r="40" spans="2:6" ht="15.75">
      <c r="B40" s="34"/>
      <c r="F40" s="34"/>
    </row>
    <row r="41" spans="2:6" ht="15.75">
      <c r="B41" s="43" t="s">
        <v>78</v>
      </c>
      <c r="C41" s="43"/>
      <c r="D41" s="43"/>
      <c r="E41" s="34"/>
      <c r="F41" s="34"/>
    </row>
    <row r="42" spans="2:4" ht="15.75">
      <c r="B42" s="43"/>
      <c r="C42" s="43"/>
      <c r="D42" s="43"/>
    </row>
    <row r="43" spans="2:4" ht="15.75">
      <c r="B43" s="34" t="s">
        <v>87</v>
      </c>
      <c r="C43" s="47"/>
      <c r="D43" s="44"/>
    </row>
    <row r="44" spans="2:4" ht="15.75">
      <c r="B44" s="130" t="s">
        <v>88</v>
      </c>
      <c r="C44" s="130"/>
      <c r="D44" s="130"/>
    </row>
  </sheetData>
  <sheetProtection/>
  <mergeCells count="36">
    <mergeCell ref="A1:J1"/>
    <mergeCell ref="A2:J2"/>
    <mergeCell ref="B7:D7"/>
    <mergeCell ref="H7:J7"/>
    <mergeCell ref="B14:F14"/>
    <mergeCell ref="B15:F15"/>
    <mergeCell ref="B8:F8"/>
    <mergeCell ref="B9:F9"/>
    <mergeCell ref="B10:F10"/>
    <mergeCell ref="B11:F11"/>
    <mergeCell ref="B12:F12"/>
    <mergeCell ref="B13:F13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44:D44"/>
    <mergeCell ref="B36:F36"/>
    <mergeCell ref="B37:F37"/>
    <mergeCell ref="B38:F38"/>
    <mergeCell ref="B39:G39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H20" sqref="H20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8.00390625" style="0" hidden="1" customWidth="1"/>
    <col min="8" max="8" width="14.125" style="0" customWidth="1"/>
    <col min="9" max="9" width="9.875" style="0" bestFit="1" customWidth="1"/>
  </cols>
  <sheetData>
    <row r="1" spans="1:8" ht="121.5" customHeight="1">
      <c r="A1" s="129" t="s">
        <v>161</v>
      </c>
      <c r="B1" s="129"/>
      <c r="C1" s="129"/>
      <c r="D1" s="129"/>
      <c r="E1" s="129"/>
      <c r="F1" s="129"/>
      <c r="G1" s="129"/>
      <c r="H1" s="129"/>
    </row>
    <row r="2" spans="1:6" ht="18.75">
      <c r="A2" s="1" t="s">
        <v>77</v>
      </c>
      <c r="B2" s="1" t="s">
        <v>86</v>
      </c>
      <c r="C2" s="2"/>
      <c r="D2" s="2" t="s">
        <v>0</v>
      </c>
      <c r="E2" s="4">
        <v>3711.1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72</v>
      </c>
      <c r="F3" s="2"/>
    </row>
    <row r="4" spans="2:7" ht="15.75">
      <c r="B4" s="3" t="s">
        <v>3</v>
      </c>
      <c r="C4" s="4">
        <v>2</v>
      </c>
      <c r="D4" s="2" t="s">
        <v>4</v>
      </c>
      <c r="E4" s="2" t="s">
        <v>83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99" t="s">
        <v>60</v>
      </c>
      <c r="B6" s="179" t="s">
        <v>98</v>
      </c>
      <c r="C6" s="180"/>
      <c r="D6" s="181"/>
      <c r="E6" s="54" t="s">
        <v>6</v>
      </c>
      <c r="F6" s="54" t="s">
        <v>7</v>
      </c>
      <c r="G6" s="100" t="s">
        <v>152</v>
      </c>
      <c r="H6" s="101" t="s">
        <v>90</v>
      </c>
    </row>
    <row r="7" spans="1:8" ht="15.75" customHeight="1">
      <c r="A7" s="55">
        <v>1</v>
      </c>
      <c r="B7" s="182" t="s">
        <v>91</v>
      </c>
      <c r="C7" s="182"/>
      <c r="D7" s="182"/>
      <c r="E7" s="182"/>
      <c r="F7" s="182"/>
      <c r="G7" s="56"/>
      <c r="H7" s="57"/>
    </row>
    <row r="8" spans="1:8" ht="15.75" customHeight="1">
      <c r="A8" s="55"/>
      <c r="B8" s="140" t="s">
        <v>153</v>
      </c>
      <c r="C8" s="140"/>
      <c r="D8" s="140"/>
      <c r="E8" s="140"/>
      <c r="F8" s="140"/>
      <c r="G8" s="24">
        <f>G31</f>
        <v>14.489999999999997</v>
      </c>
      <c r="H8" s="57">
        <f>ROUND($E$2*G8*12,0)</f>
        <v>645286</v>
      </c>
    </row>
    <row r="9" spans="1:8" ht="15.75" customHeight="1">
      <c r="A9" s="55"/>
      <c r="B9" s="184" t="s">
        <v>92</v>
      </c>
      <c r="C9" s="184"/>
      <c r="D9" s="184"/>
      <c r="E9" s="184"/>
      <c r="F9" s="184"/>
      <c r="G9" s="23">
        <v>0.76</v>
      </c>
      <c r="H9" s="57">
        <f>ROUND($E$2*G9*12,0)</f>
        <v>33845</v>
      </c>
    </row>
    <row r="10" spans="1:8" ht="15.75" customHeight="1">
      <c r="A10" s="55">
        <v>2</v>
      </c>
      <c r="B10" s="142" t="s">
        <v>65</v>
      </c>
      <c r="C10" s="142"/>
      <c r="D10" s="142"/>
      <c r="E10" s="142"/>
      <c r="F10" s="142"/>
      <c r="G10" s="58"/>
      <c r="H10" s="57"/>
    </row>
    <row r="11" spans="1:8" ht="18.75" customHeight="1">
      <c r="A11" s="55"/>
      <c r="B11" s="19" t="s">
        <v>66</v>
      </c>
      <c r="C11" s="19"/>
      <c r="D11" s="19"/>
      <c r="E11" s="19"/>
      <c r="F11" s="5"/>
      <c r="G11" s="59"/>
      <c r="H11" s="57"/>
    </row>
    <row r="12" spans="1:8" ht="31.5" customHeight="1">
      <c r="A12" s="60"/>
      <c r="B12" s="183" t="s">
        <v>165</v>
      </c>
      <c r="C12" s="183"/>
      <c r="D12" s="183"/>
      <c r="E12" s="79" t="s">
        <v>32</v>
      </c>
      <c r="F12" s="61" t="s">
        <v>24</v>
      </c>
      <c r="G12" s="62">
        <v>1.22</v>
      </c>
      <c r="H12" s="63">
        <f aca="true" t="shared" si="0" ref="H12:H31">ROUND($E$2*G12*12,0)</f>
        <v>54331</v>
      </c>
    </row>
    <row r="13" spans="1:9" ht="15.75" customHeight="1">
      <c r="A13" s="60"/>
      <c r="B13" s="183" t="s">
        <v>17</v>
      </c>
      <c r="C13" s="183"/>
      <c r="D13" s="183"/>
      <c r="E13" s="79" t="s">
        <v>32</v>
      </c>
      <c r="F13" s="61" t="s">
        <v>19</v>
      </c>
      <c r="G13" s="62">
        <v>0.28</v>
      </c>
      <c r="H13" s="63">
        <f t="shared" si="0"/>
        <v>12469</v>
      </c>
      <c r="I13" s="31"/>
    </row>
    <row r="14" spans="1:8" ht="18.75" customHeight="1">
      <c r="A14" s="60"/>
      <c r="B14" s="185" t="s">
        <v>23</v>
      </c>
      <c r="C14" s="185"/>
      <c r="D14" s="185"/>
      <c r="E14" s="83" t="s">
        <v>110</v>
      </c>
      <c r="F14" s="64" t="s">
        <v>20</v>
      </c>
      <c r="G14" s="62">
        <v>0.99</v>
      </c>
      <c r="H14" s="63">
        <f t="shared" si="0"/>
        <v>44088</v>
      </c>
    </row>
    <row r="15" spans="1:8" ht="15.75" customHeight="1">
      <c r="A15" s="60"/>
      <c r="B15" s="187" t="s">
        <v>31</v>
      </c>
      <c r="C15" s="187"/>
      <c r="D15" s="187"/>
      <c r="E15" s="85" t="s">
        <v>9</v>
      </c>
      <c r="F15" s="65" t="s">
        <v>10</v>
      </c>
      <c r="G15" s="62">
        <v>0.51</v>
      </c>
      <c r="H15" s="63">
        <f t="shared" si="0"/>
        <v>22712</v>
      </c>
    </row>
    <row r="16" spans="1:8" ht="31.5" customHeight="1">
      <c r="A16" s="60"/>
      <c r="B16" s="185" t="s">
        <v>27</v>
      </c>
      <c r="C16" s="185"/>
      <c r="D16" s="185"/>
      <c r="E16" s="83" t="s">
        <v>111</v>
      </c>
      <c r="F16" s="64" t="s">
        <v>25</v>
      </c>
      <c r="G16" s="62">
        <v>0.12</v>
      </c>
      <c r="H16" s="63">
        <f t="shared" si="0"/>
        <v>5344</v>
      </c>
    </row>
    <row r="17" spans="1:8" ht="15.75" customHeight="1">
      <c r="A17" s="60"/>
      <c r="B17" s="185" t="s">
        <v>11</v>
      </c>
      <c r="C17" s="185"/>
      <c r="D17" s="185"/>
      <c r="E17" s="83" t="s">
        <v>9</v>
      </c>
      <c r="F17" s="64" t="s">
        <v>12</v>
      </c>
      <c r="G17" s="62">
        <v>2.22</v>
      </c>
      <c r="H17" s="63">
        <f t="shared" si="0"/>
        <v>98864</v>
      </c>
    </row>
    <row r="18" spans="1:8" ht="15.75" customHeight="1">
      <c r="A18" s="60"/>
      <c r="B18" s="185" t="s">
        <v>26</v>
      </c>
      <c r="C18" s="186"/>
      <c r="D18" s="186"/>
      <c r="E18" s="86" t="s">
        <v>13</v>
      </c>
      <c r="F18" s="58" t="s">
        <v>93</v>
      </c>
      <c r="G18" s="62">
        <v>0.05</v>
      </c>
      <c r="H18" s="63">
        <f t="shared" si="0"/>
        <v>2227</v>
      </c>
    </row>
    <row r="19" spans="1:8" ht="33" customHeight="1">
      <c r="A19" s="60"/>
      <c r="B19" s="185" t="s">
        <v>71</v>
      </c>
      <c r="C19" s="185"/>
      <c r="D19" s="185"/>
      <c r="E19" s="79" t="s">
        <v>35</v>
      </c>
      <c r="F19" s="64" t="s">
        <v>82</v>
      </c>
      <c r="G19" s="62">
        <v>2.15</v>
      </c>
      <c r="H19" s="63">
        <f t="shared" si="0"/>
        <v>95746</v>
      </c>
    </row>
    <row r="20" spans="1:8" ht="51">
      <c r="A20" s="60"/>
      <c r="B20" s="183" t="s">
        <v>15</v>
      </c>
      <c r="C20" s="183"/>
      <c r="D20" s="183"/>
      <c r="E20" s="79" t="s">
        <v>94</v>
      </c>
      <c r="F20" s="64" t="s">
        <v>82</v>
      </c>
      <c r="G20" s="62">
        <v>0.53</v>
      </c>
      <c r="H20" s="63">
        <f t="shared" si="0"/>
        <v>23603</v>
      </c>
    </row>
    <row r="21" spans="1:8" ht="25.5">
      <c r="A21" s="60"/>
      <c r="B21" s="185" t="s">
        <v>36</v>
      </c>
      <c r="C21" s="186"/>
      <c r="D21" s="186"/>
      <c r="E21" s="79" t="s">
        <v>35</v>
      </c>
      <c r="F21" s="64" t="s">
        <v>82</v>
      </c>
      <c r="G21" s="62">
        <f>3.52-G22-G23</f>
        <v>3.23</v>
      </c>
      <c r="H21" s="63">
        <f t="shared" si="0"/>
        <v>143842</v>
      </c>
    </row>
    <row r="22" spans="1:8" ht="15.75" customHeight="1">
      <c r="A22" s="60"/>
      <c r="B22" s="185" t="s">
        <v>154</v>
      </c>
      <c r="C22" s="185"/>
      <c r="D22" s="185"/>
      <c r="E22" s="83" t="s">
        <v>9</v>
      </c>
      <c r="F22" s="64" t="s">
        <v>82</v>
      </c>
      <c r="G22" s="62">
        <v>0.29</v>
      </c>
      <c r="H22" s="63">
        <f t="shared" si="0"/>
        <v>12915</v>
      </c>
    </row>
    <row r="23" spans="1:8" ht="36.75" customHeight="1">
      <c r="A23" s="60"/>
      <c r="B23" s="185" t="s">
        <v>113</v>
      </c>
      <c r="C23" s="185"/>
      <c r="D23" s="185"/>
      <c r="E23" s="83" t="s">
        <v>9</v>
      </c>
      <c r="F23" s="64" t="s">
        <v>82</v>
      </c>
      <c r="G23" s="62">
        <v>0</v>
      </c>
      <c r="H23" s="63">
        <f t="shared" si="0"/>
        <v>0</v>
      </c>
    </row>
    <row r="24" spans="1:8" ht="25.5">
      <c r="A24" s="60"/>
      <c r="B24" s="186" t="s">
        <v>21</v>
      </c>
      <c r="C24" s="186"/>
      <c r="D24" s="186"/>
      <c r="E24" s="79" t="s">
        <v>35</v>
      </c>
      <c r="F24" s="64" t="s">
        <v>82</v>
      </c>
      <c r="G24" s="62">
        <v>1.45</v>
      </c>
      <c r="H24" s="63">
        <f t="shared" si="0"/>
        <v>64573</v>
      </c>
    </row>
    <row r="25" spans="1:8" ht="15.75">
      <c r="A25" s="23"/>
      <c r="B25" s="160" t="s">
        <v>114</v>
      </c>
      <c r="C25" s="161"/>
      <c r="D25" s="162"/>
      <c r="E25" s="83" t="s">
        <v>9</v>
      </c>
      <c r="F25" s="64"/>
      <c r="G25" s="62"/>
      <c r="H25" s="63"/>
    </row>
    <row r="26" spans="1:8" ht="31.5" customHeight="1">
      <c r="A26" s="23"/>
      <c r="B26" s="160" t="s">
        <v>115</v>
      </c>
      <c r="C26" s="161"/>
      <c r="D26" s="162"/>
      <c r="E26" s="79" t="s">
        <v>35</v>
      </c>
      <c r="F26" s="64"/>
      <c r="G26" s="62"/>
      <c r="H26" s="63"/>
    </row>
    <row r="27" spans="1:8" ht="15.75" customHeight="1">
      <c r="A27" s="60"/>
      <c r="B27" s="148"/>
      <c r="C27" s="149"/>
      <c r="D27" s="150"/>
      <c r="E27" s="79"/>
      <c r="F27" s="64"/>
      <c r="G27" s="62"/>
      <c r="H27" s="63"/>
    </row>
    <row r="28" spans="1:8" ht="15.75">
      <c r="A28" s="60"/>
      <c r="B28" s="148"/>
      <c r="C28" s="149"/>
      <c r="D28" s="150"/>
      <c r="E28" s="79"/>
      <c r="F28" s="64"/>
      <c r="G28" s="62"/>
      <c r="H28" s="63"/>
    </row>
    <row r="29" spans="1:8" ht="15.75">
      <c r="A29" s="60"/>
      <c r="B29" s="188" t="s">
        <v>30</v>
      </c>
      <c r="C29" s="189"/>
      <c r="D29" s="190"/>
      <c r="E29" s="14"/>
      <c r="F29" s="64"/>
      <c r="G29" s="21">
        <f>SUM(G12:G28)</f>
        <v>13.039999999999997</v>
      </c>
      <c r="H29" s="63">
        <f t="shared" si="0"/>
        <v>580713</v>
      </c>
    </row>
    <row r="30" spans="1:8" ht="15.75">
      <c r="A30" s="55" t="s">
        <v>116</v>
      </c>
      <c r="B30" s="151" t="s">
        <v>155</v>
      </c>
      <c r="C30" s="152"/>
      <c r="D30" s="152"/>
      <c r="E30" s="153"/>
      <c r="F30" s="50" t="s">
        <v>95</v>
      </c>
      <c r="G30" s="24">
        <v>1.45</v>
      </c>
      <c r="H30" s="63">
        <f t="shared" si="0"/>
        <v>64573</v>
      </c>
    </row>
    <row r="31" spans="1:8" ht="15.75" customHeight="1">
      <c r="A31" s="55"/>
      <c r="B31" s="175" t="s">
        <v>156</v>
      </c>
      <c r="C31" s="175"/>
      <c r="D31" s="175"/>
      <c r="E31" s="175"/>
      <c r="F31" s="175"/>
      <c r="G31" s="21">
        <f>SUM(G29:G30)</f>
        <v>14.489999999999997</v>
      </c>
      <c r="H31" s="102">
        <f t="shared" si="0"/>
        <v>645286</v>
      </c>
    </row>
    <row r="32" spans="1:8" ht="16.5" thickBot="1">
      <c r="A32" s="103">
        <v>3</v>
      </c>
      <c r="B32" s="176" t="s">
        <v>157</v>
      </c>
      <c r="C32" s="177"/>
      <c r="D32" s="178"/>
      <c r="E32" s="104"/>
      <c r="F32" s="105" t="s">
        <v>95</v>
      </c>
      <c r="G32" s="106">
        <v>0.76</v>
      </c>
      <c r="H32" s="107">
        <f>ROUND($E$2*G32*12,0)</f>
        <v>33845</v>
      </c>
    </row>
    <row r="33" spans="7:8" ht="15.75">
      <c r="G33" s="66"/>
      <c r="H33" s="67"/>
    </row>
    <row r="34" spans="1:8" ht="15.75" customHeight="1">
      <c r="A34" s="43" t="s">
        <v>78</v>
      </c>
      <c r="B34" s="43"/>
      <c r="C34" s="43"/>
      <c r="D34" s="34"/>
      <c r="G34" s="66"/>
      <c r="H34" s="67"/>
    </row>
  </sheetData>
  <sheetProtection/>
  <mergeCells count="27">
    <mergeCell ref="B13:D13"/>
    <mergeCell ref="B14:D14"/>
    <mergeCell ref="B15:D15"/>
    <mergeCell ref="B29:D29"/>
    <mergeCell ref="B24:D24"/>
    <mergeCell ref="B25:D25"/>
    <mergeCell ref="B26:D26"/>
    <mergeCell ref="B27:D27"/>
    <mergeCell ref="B28:D28"/>
    <mergeCell ref="B20:D20"/>
    <mergeCell ref="B21:D21"/>
    <mergeCell ref="B22:D22"/>
    <mergeCell ref="B23:D23"/>
    <mergeCell ref="B16:D16"/>
    <mergeCell ref="B17:D17"/>
    <mergeCell ref="B18:D18"/>
    <mergeCell ref="B19:D19"/>
    <mergeCell ref="B30:E30"/>
    <mergeCell ref="B31:F31"/>
    <mergeCell ref="B32:D32"/>
    <mergeCell ref="A1:H1"/>
    <mergeCell ref="B6:D6"/>
    <mergeCell ref="B7:F7"/>
    <mergeCell ref="B12:D12"/>
    <mergeCell ref="B8:F8"/>
    <mergeCell ref="B9:F9"/>
    <mergeCell ref="B10:F10"/>
  </mergeCells>
  <printOptions/>
  <pageMargins left="0.69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B1">
      <selection activeCell="H26" sqref="H26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75390625" style="0" customWidth="1"/>
    <col min="6" max="6" width="18.00390625" style="0" hidden="1" customWidth="1"/>
    <col min="7" max="7" width="0.12890625" style="0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129" t="s">
        <v>166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54" customHeight="1">
      <c r="A2" s="168" t="s">
        <v>167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9" ht="18.75">
      <c r="A3" s="1" t="s">
        <v>77</v>
      </c>
      <c r="B3" s="1" t="s">
        <v>86</v>
      </c>
      <c r="C3" s="2"/>
      <c r="D3" s="2" t="s">
        <v>0</v>
      </c>
      <c r="E3" s="4">
        <v>3711.1</v>
      </c>
      <c r="F3" s="2"/>
      <c r="I3" s="68">
        <v>37.3</v>
      </c>
    </row>
    <row r="4" spans="2:9" ht="15.75">
      <c r="B4" s="3" t="s">
        <v>1</v>
      </c>
      <c r="C4" s="27">
        <v>9</v>
      </c>
      <c r="D4" s="2" t="s">
        <v>2</v>
      </c>
      <c r="E4" s="4">
        <v>72</v>
      </c>
      <c r="F4" s="2"/>
      <c r="I4" t="s">
        <v>89</v>
      </c>
    </row>
    <row r="5" spans="2:9" ht="15.75">
      <c r="B5" s="3" t="s">
        <v>3</v>
      </c>
      <c r="C5" s="4">
        <v>2</v>
      </c>
      <c r="D5" s="2" t="s">
        <v>4</v>
      </c>
      <c r="E5" s="2" t="s">
        <v>83</v>
      </c>
      <c r="F5" s="2"/>
      <c r="G5" s="2"/>
      <c r="I5" s="2" t="s">
        <v>96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97</v>
      </c>
    </row>
    <row r="7" spans="1:10" ht="39" customHeight="1">
      <c r="A7" s="22" t="s">
        <v>60</v>
      </c>
      <c r="B7" s="169" t="s">
        <v>98</v>
      </c>
      <c r="C7" s="170"/>
      <c r="D7" s="171"/>
      <c r="E7" s="11" t="s">
        <v>6</v>
      </c>
      <c r="F7" s="11" t="s">
        <v>7</v>
      </c>
      <c r="G7" s="33" t="s">
        <v>22</v>
      </c>
      <c r="H7" s="172" t="s">
        <v>99</v>
      </c>
      <c r="I7" s="173"/>
      <c r="J7" s="174"/>
    </row>
    <row r="8" spans="1:10" ht="15.75">
      <c r="A8" s="23">
        <v>1</v>
      </c>
      <c r="B8" s="123"/>
      <c r="C8" s="124"/>
      <c r="D8" s="124"/>
      <c r="E8" s="124"/>
      <c r="F8" s="147"/>
      <c r="G8" s="70"/>
      <c r="H8" s="71" t="s">
        <v>100</v>
      </c>
      <c r="I8" s="72" t="s">
        <v>101</v>
      </c>
      <c r="J8" s="72" t="s">
        <v>102</v>
      </c>
    </row>
    <row r="9" spans="1:10" ht="15.75">
      <c r="A9" s="23"/>
      <c r="B9" s="123" t="s">
        <v>103</v>
      </c>
      <c r="C9" s="124"/>
      <c r="D9" s="124"/>
      <c r="E9" s="124"/>
      <c r="F9" s="147"/>
      <c r="G9" s="59"/>
      <c r="H9" s="59"/>
      <c r="I9" s="52"/>
      <c r="J9" s="72"/>
    </row>
    <row r="10" spans="1:10" ht="15.75" customHeight="1">
      <c r="A10" s="73"/>
      <c r="B10" s="167" t="s">
        <v>104</v>
      </c>
      <c r="C10" s="167"/>
      <c r="D10" s="167"/>
      <c r="E10" s="167"/>
      <c r="F10" s="167"/>
      <c r="G10" s="15"/>
      <c r="H10" s="74">
        <v>606891.33</v>
      </c>
      <c r="I10" s="56"/>
      <c r="J10" s="75">
        <f>H10+I10</f>
        <v>606891.33</v>
      </c>
    </row>
    <row r="11" spans="1:10" ht="15.75" customHeight="1">
      <c r="A11" s="73"/>
      <c r="B11" s="167" t="s">
        <v>105</v>
      </c>
      <c r="C11" s="167"/>
      <c r="D11" s="167"/>
      <c r="E11" s="167"/>
      <c r="F11" s="167"/>
      <c r="G11" s="15"/>
      <c r="H11" s="16">
        <v>24731.05</v>
      </c>
      <c r="I11" s="56"/>
      <c r="J11" s="75">
        <f>H11+I11</f>
        <v>24731.05</v>
      </c>
    </row>
    <row r="12" spans="1:10" ht="15.75" customHeight="1">
      <c r="A12" s="23"/>
      <c r="B12" s="167" t="s">
        <v>106</v>
      </c>
      <c r="C12" s="167"/>
      <c r="D12" s="167"/>
      <c r="E12" s="167"/>
      <c r="F12" s="167"/>
      <c r="G12" s="15"/>
      <c r="H12" s="74"/>
      <c r="I12" s="76">
        <v>6838.49</v>
      </c>
      <c r="J12" s="75">
        <f>H12+I12</f>
        <v>6838.49</v>
      </c>
    </row>
    <row r="13" spans="1:10" ht="15.75" customHeight="1">
      <c r="A13" s="23"/>
      <c r="B13" s="167" t="s">
        <v>107</v>
      </c>
      <c r="C13" s="167"/>
      <c r="D13" s="167"/>
      <c r="E13" s="167"/>
      <c r="F13" s="167"/>
      <c r="G13" s="15"/>
      <c r="H13" s="74">
        <v>0</v>
      </c>
      <c r="I13" s="76">
        <v>0</v>
      </c>
      <c r="J13" s="75">
        <f>H13+I13</f>
        <v>0</v>
      </c>
    </row>
    <row r="14" spans="1:10" ht="15.75" customHeight="1">
      <c r="A14" s="23"/>
      <c r="B14" s="140" t="s">
        <v>108</v>
      </c>
      <c r="C14" s="140"/>
      <c r="D14" s="140"/>
      <c r="E14" s="140"/>
      <c r="F14" s="140"/>
      <c r="G14" s="15"/>
      <c r="H14" s="77">
        <f>SUM(H10:H13)</f>
        <v>631622.38</v>
      </c>
      <c r="I14" s="77">
        <f>SUM(I10:I13)</f>
        <v>6838.49</v>
      </c>
      <c r="J14" s="77">
        <f>SUM(J10:J13)</f>
        <v>638460.87</v>
      </c>
    </row>
    <row r="15" spans="1:10" ht="18.75" customHeight="1">
      <c r="A15" s="23">
        <v>2</v>
      </c>
      <c r="B15" s="142" t="s">
        <v>65</v>
      </c>
      <c r="C15" s="142"/>
      <c r="D15" s="142"/>
      <c r="E15" s="142"/>
      <c r="F15" s="142"/>
      <c r="G15" s="15"/>
      <c r="H15" s="74"/>
      <c r="I15" s="56"/>
      <c r="J15" s="35"/>
    </row>
    <row r="16" spans="1:10" ht="15.75">
      <c r="A16" s="23" t="s">
        <v>109</v>
      </c>
      <c r="B16" s="19" t="s">
        <v>66</v>
      </c>
      <c r="C16" s="19"/>
      <c r="D16" s="19"/>
      <c r="E16" s="19"/>
      <c r="F16" s="5"/>
      <c r="G16" s="71"/>
      <c r="H16" s="71"/>
      <c r="I16" s="69"/>
      <c r="J16" s="72"/>
    </row>
    <row r="17" spans="1:10" ht="30.75" customHeight="1">
      <c r="A17" s="26"/>
      <c r="B17" s="166" t="s">
        <v>164</v>
      </c>
      <c r="C17" s="166"/>
      <c r="D17" s="166"/>
      <c r="E17" s="79" t="s">
        <v>32</v>
      </c>
      <c r="F17" s="61" t="s">
        <v>24</v>
      </c>
      <c r="G17" s="62">
        <v>1.22</v>
      </c>
      <c r="H17" s="80">
        <f>ROUND(G17*$E$3*12,2)</f>
        <v>54330.5</v>
      </c>
      <c r="I17" s="81">
        <f>$I$12*0.08</f>
        <v>547.0792</v>
      </c>
      <c r="J17" s="82">
        <f>SUM(H17:I17)</f>
        <v>54877.5792</v>
      </c>
    </row>
    <row r="18" spans="1:10" ht="36" customHeight="1">
      <c r="A18" s="23"/>
      <c r="B18" s="163" t="s">
        <v>17</v>
      </c>
      <c r="C18" s="163"/>
      <c r="D18" s="163"/>
      <c r="E18" s="79" t="s">
        <v>32</v>
      </c>
      <c r="F18" s="61" t="s">
        <v>19</v>
      </c>
      <c r="G18" s="62">
        <v>0.28</v>
      </c>
      <c r="H18" s="80">
        <f>ROUND(G18*$E$3*12,2)</f>
        <v>12469.3</v>
      </c>
      <c r="I18" s="81">
        <f>$I$12*0.02</f>
        <v>136.7698</v>
      </c>
      <c r="J18" s="82">
        <f>SUM(H18:I18)</f>
        <v>12606.0698</v>
      </c>
    </row>
    <row r="19" spans="1:10" ht="20.25" customHeight="1">
      <c r="A19" s="23"/>
      <c r="B19" s="165" t="s">
        <v>23</v>
      </c>
      <c r="C19" s="165"/>
      <c r="D19" s="165"/>
      <c r="E19" s="83" t="s">
        <v>110</v>
      </c>
      <c r="F19" s="64" t="s">
        <v>20</v>
      </c>
      <c r="G19" s="62">
        <v>0.99</v>
      </c>
      <c r="H19" s="80">
        <f>J19-I19</f>
        <v>53053.795699999995</v>
      </c>
      <c r="I19" s="81">
        <f>$I$12*0.07</f>
        <v>478.69430000000006</v>
      </c>
      <c r="J19" s="84">
        <v>53532.49</v>
      </c>
    </row>
    <row r="20" spans="1:10" ht="20.25" customHeight="1">
      <c r="A20" s="26"/>
      <c r="B20" s="166" t="s">
        <v>31</v>
      </c>
      <c r="C20" s="166"/>
      <c r="D20" s="166"/>
      <c r="E20" s="85" t="s">
        <v>9</v>
      </c>
      <c r="F20" s="65" t="s">
        <v>10</v>
      </c>
      <c r="G20" s="62">
        <v>0.51</v>
      </c>
      <c r="H20" s="80">
        <f>ROUND(G20*$E$3*12,2)</f>
        <v>22711.93</v>
      </c>
      <c r="I20" s="81">
        <f>$I$12*0.04</f>
        <v>273.5396</v>
      </c>
      <c r="J20" s="82">
        <f>SUM(H20:I20)</f>
        <v>22985.4696</v>
      </c>
    </row>
    <row r="21" spans="1:10" ht="65.25" customHeight="1">
      <c r="A21" s="23"/>
      <c r="B21" s="165" t="s">
        <v>27</v>
      </c>
      <c r="C21" s="165"/>
      <c r="D21" s="165"/>
      <c r="E21" s="83" t="s">
        <v>111</v>
      </c>
      <c r="F21" s="64" t="s">
        <v>25</v>
      </c>
      <c r="G21" s="62">
        <v>0.12</v>
      </c>
      <c r="H21" s="80">
        <f>J21-I21</f>
        <v>2825.8051</v>
      </c>
      <c r="I21" s="81">
        <f>$I$12*0.01</f>
        <v>68.3849</v>
      </c>
      <c r="J21" s="84">
        <v>2894.19</v>
      </c>
    </row>
    <row r="22" spans="1:10" ht="20.25" customHeight="1">
      <c r="A22" s="26"/>
      <c r="B22" s="165" t="s">
        <v>11</v>
      </c>
      <c r="C22" s="165"/>
      <c r="D22" s="165"/>
      <c r="E22" s="83" t="s">
        <v>9</v>
      </c>
      <c r="F22" s="64" t="s">
        <v>12</v>
      </c>
      <c r="G22" s="62">
        <v>2.22</v>
      </c>
      <c r="H22" s="80">
        <f>J22-I22</f>
        <v>97837.9305</v>
      </c>
      <c r="I22" s="81">
        <f>$I$12*0.15</f>
        <v>1025.7735</v>
      </c>
      <c r="J22" s="84">
        <f>G22*E3*12</f>
        <v>98863.704</v>
      </c>
    </row>
    <row r="23" spans="1:10" ht="31.5" customHeight="1">
      <c r="A23" s="26"/>
      <c r="B23" s="165" t="s">
        <v>26</v>
      </c>
      <c r="C23" s="159"/>
      <c r="D23" s="159"/>
      <c r="E23" s="86" t="s">
        <v>13</v>
      </c>
      <c r="F23" s="58" t="s">
        <v>14</v>
      </c>
      <c r="G23" s="62">
        <v>0.05</v>
      </c>
      <c r="H23" s="80">
        <f>J23-I23</f>
        <v>4178.384529999999</v>
      </c>
      <c r="I23" s="81">
        <f>$I$12*0.003</f>
        <v>20.51547</v>
      </c>
      <c r="J23" s="84">
        <v>4198.9</v>
      </c>
    </row>
    <row r="24" spans="1:10" ht="28.5" customHeight="1">
      <c r="A24" s="23"/>
      <c r="B24" s="165" t="s">
        <v>71</v>
      </c>
      <c r="C24" s="165"/>
      <c r="D24" s="165"/>
      <c r="E24" s="79" t="s">
        <v>35</v>
      </c>
      <c r="F24" s="46" t="s">
        <v>82</v>
      </c>
      <c r="G24" s="62">
        <v>2.15</v>
      </c>
      <c r="H24" s="80">
        <f aca="true" t="shared" si="0" ref="H24:H29">ROUND(G24*$E$3*12,2)</f>
        <v>95746.38</v>
      </c>
      <c r="I24" s="81">
        <f>$I$12*0.19</f>
        <v>1299.3131</v>
      </c>
      <c r="J24" s="82">
        <f aca="true" t="shared" si="1" ref="J24:J29">SUM(H24:I24)</f>
        <v>97045.6931</v>
      </c>
    </row>
    <row r="25" spans="1:10" ht="26.25" customHeight="1">
      <c r="A25" s="23"/>
      <c r="B25" s="163" t="s">
        <v>15</v>
      </c>
      <c r="C25" s="163"/>
      <c r="D25" s="163"/>
      <c r="E25" s="79" t="s">
        <v>35</v>
      </c>
      <c r="F25" s="46" t="s">
        <v>82</v>
      </c>
      <c r="G25" s="62">
        <v>0.53</v>
      </c>
      <c r="H25" s="87">
        <f>ROUND((G25*$E$3*12/2)+(E3*G25/2*7),2)</f>
        <v>18685.39</v>
      </c>
      <c r="I25" s="81">
        <v>0</v>
      </c>
      <c r="J25" s="82">
        <f t="shared" si="1"/>
        <v>18685.39</v>
      </c>
    </row>
    <row r="26" spans="1:10" ht="30" customHeight="1">
      <c r="A26" s="23"/>
      <c r="B26" s="164" t="s">
        <v>36</v>
      </c>
      <c r="C26" s="149"/>
      <c r="D26" s="150"/>
      <c r="E26" s="79" t="s">
        <v>35</v>
      </c>
      <c r="F26" s="46" t="s">
        <v>82</v>
      </c>
      <c r="G26" s="48">
        <f>3.52-G27-G28</f>
        <v>3.23</v>
      </c>
      <c r="H26" s="87">
        <f t="shared" si="0"/>
        <v>143842.24</v>
      </c>
      <c r="I26" s="88">
        <f>$I$12*(0.18+0.02)</f>
        <v>1367.6979999999999</v>
      </c>
      <c r="J26" s="82">
        <f t="shared" si="1"/>
        <v>145209.938</v>
      </c>
    </row>
    <row r="27" spans="1:10" ht="26.25" customHeight="1">
      <c r="A27" s="26"/>
      <c r="B27" s="165" t="s">
        <v>112</v>
      </c>
      <c r="C27" s="165"/>
      <c r="D27" s="165"/>
      <c r="E27" s="79" t="s">
        <v>35</v>
      </c>
      <c r="F27" s="46" t="s">
        <v>82</v>
      </c>
      <c r="G27" s="48">
        <v>0.29</v>
      </c>
      <c r="H27" s="87">
        <f t="shared" si="0"/>
        <v>12914.63</v>
      </c>
      <c r="I27" s="88">
        <f>$I$12*0.02</f>
        <v>136.7698</v>
      </c>
      <c r="J27" s="82">
        <f t="shared" si="1"/>
        <v>13051.3998</v>
      </c>
    </row>
    <row r="28" spans="1:10" ht="28.5" customHeight="1">
      <c r="A28" s="23"/>
      <c r="B28" s="165" t="s">
        <v>113</v>
      </c>
      <c r="C28" s="165"/>
      <c r="D28" s="165"/>
      <c r="E28" s="83" t="s">
        <v>9</v>
      </c>
      <c r="F28" s="46" t="s">
        <v>82</v>
      </c>
      <c r="G28" s="48">
        <v>0</v>
      </c>
      <c r="H28" s="87">
        <f t="shared" si="0"/>
        <v>0</v>
      </c>
      <c r="I28" s="88">
        <v>0</v>
      </c>
      <c r="J28" s="82">
        <f t="shared" si="1"/>
        <v>0</v>
      </c>
    </row>
    <row r="29" spans="1:10" ht="27" customHeight="1">
      <c r="A29" s="23"/>
      <c r="B29" s="159" t="s">
        <v>21</v>
      </c>
      <c r="C29" s="159"/>
      <c r="D29" s="159"/>
      <c r="E29" s="110" t="s">
        <v>35</v>
      </c>
      <c r="F29" s="46" t="s">
        <v>82</v>
      </c>
      <c r="G29" s="58">
        <v>1.45</v>
      </c>
      <c r="H29" s="80">
        <f t="shared" si="0"/>
        <v>64573.14</v>
      </c>
      <c r="I29" s="81">
        <f>$I$12*0.1</f>
        <v>683.849</v>
      </c>
      <c r="J29" s="82">
        <f t="shared" si="1"/>
        <v>65256.989</v>
      </c>
    </row>
    <row r="30" spans="1:10" ht="15.75">
      <c r="A30" s="23"/>
      <c r="B30" s="148"/>
      <c r="C30" s="149"/>
      <c r="D30" s="150"/>
      <c r="E30" s="83"/>
      <c r="F30" s="46"/>
      <c r="G30" s="58"/>
      <c r="H30" s="87"/>
      <c r="I30" s="76"/>
      <c r="J30" s="89"/>
    </row>
    <row r="31" spans="1:10" ht="15.75">
      <c r="A31" s="23"/>
      <c r="B31" s="148"/>
      <c r="C31" s="149"/>
      <c r="D31" s="150"/>
      <c r="E31" s="83"/>
      <c r="F31" s="46"/>
      <c r="G31" s="58"/>
      <c r="H31" s="87"/>
      <c r="I31" s="76"/>
      <c r="J31" s="89"/>
    </row>
    <row r="32" spans="1:10" ht="15.75">
      <c r="A32" s="23"/>
      <c r="B32" s="131" t="s">
        <v>30</v>
      </c>
      <c r="C32" s="131"/>
      <c r="D32" s="131"/>
      <c r="E32" s="14"/>
      <c r="F32" s="46"/>
      <c r="G32" s="21">
        <f>SUM(G17:G29)</f>
        <v>13.039999999999997</v>
      </c>
      <c r="H32" s="40">
        <f>SUM(H17:H31)</f>
        <v>583169.4258300001</v>
      </c>
      <c r="I32" s="90">
        <f>SUM(I17:I31)</f>
        <v>6038.38667</v>
      </c>
      <c r="J32" s="40">
        <f>SUM(J17:J31)</f>
        <v>589207.8125</v>
      </c>
    </row>
    <row r="33" spans="1:10" ht="21.75" customHeight="1">
      <c r="A33" s="23"/>
      <c r="B33" s="160" t="s">
        <v>114</v>
      </c>
      <c r="C33" s="161"/>
      <c r="D33" s="162"/>
      <c r="E33" s="83" t="s">
        <v>9</v>
      </c>
      <c r="F33" s="46"/>
      <c r="G33" s="58"/>
      <c r="H33" s="87"/>
      <c r="I33" s="76"/>
      <c r="J33" s="89"/>
    </row>
    <row r="34" spans="1:10" ht="27" customHeight="1">
      <c r="A34" s="23"/>
      <c r="B34" s="160" t="s">
        <v>115</v>
      </c>
      <c r="C34" s="161"/>
      <c r="D34" s="162"/>
      <c r="E34" s="79" t="s">
        <v>35</v>
      </c>
      <c r="F34" s="46"/>
      <c r="G34" s="58"/>
      <c r="H34" s="87"/>
      <c r="I34" s="76"/>
      <c r="J34" s="89"/>
    </row>
    <row r="35" spans="1:10" ht="15.75">
      <c r="A35" s="23"/>
      <c r="B35" s="148"/>
      <c r="C35" s="149"/>
      <c r="D35" s="150"/>
      <c r="E35" s="83"/>
      <c r="F35" s="46"/>
      <c r="G35" s="58"/>
      <c r="H35" s="87"/>
      <c r="I35" s="76"/>
      <c r="J35" s="89"/>
    </row>
    <row r="36" spans="1:10" ht="15.75">
      <c r="A36" s="23"/>
      <c r="B36" s="148"/>
      <c r="C36" s="149"/>
      <c r="D36" s="150"/>
      <c r="E36" s="83"/>
      <c r="F36" s="46"/>
      <c r="G36" s="58"/>
      <c r="H36" s="87"/>
      <c r="I36" s="76"/>
      <c r="J36" s="89"/>
    </row>
    <row r="37" spans="1:10" ht="15" customHeight="1">
      <c r="A37" s="23" t="s">
        <v>116</v>
      </c>
      <c r="B37" s="151" t="s">
        <v>117</v>
      </c>
      <c r="C37" s="152"/>
      <c r="D37" s="152"/>
      <c r="E37" s="153"/>
      <c r="F37" s="46" t="s">
        <v>82</v>
      </c>
      <c r="G37" s="24">
        <f>H37/E3/12</f>
        <v>0.5013338363288513</v>
      </c>
      <c r="H37" s="28">
        <v>22326</v>
      </c>
      <c r="I37" s="91">
        <v>0</v>
      </c>
      <c r="J37" s="77">
        <f>SUM(H37:I37)</f>
        <v>22326</v>
      </c>
    </row>
    <row r="38" spans="1:10" ht="14.25" customHeight="1">
      <c r="A38" s="25"/>
      <c r="B38" s="154" t="s">
        <v>69</v>
      </c>
      <c r="C38" s="154"/>
      <c r="D38" s="154"/>
      <c r="E38" s="154"/>
      <c r="F38" s="154"/>
      <c r="G38" s="5">
        <f>SUM(G32:G37)</f>
        <v>13.54133383632885</v>
      </c>
      <c r="H38" s="41">
        <f>SUM(H32:H37)</f>
        <v>605495.4258300001</v>
      </c>
      <c r="I38" s="92">
        <f>SUM(I32:I37)</f>
        <v>6038.38667</v>
      </c>
      <c r="J38" s="41">
        <f>SUM(J32:J37)</f>
        <v>611533.8125</v>
      </c>
    </row>
    <row r="39" spans="1:10" ht="15.75">
      <c r="A39" s="23" t="s">
        <v>118</v>
      </c>
      <c r="B39" s="155" t="s">
        <v>119</v>
      </c>
      <c r="C39" s="155"/>
      <c r="D39" s="155"/>
      <c r="E39" s="155"/>
      <c r="F39" s="155"/>
      <c r="G39" s="93"/>
      <c r="H39" s="94">
        <v>0</v>
      </c>
      <c r="I39" s="94">
        <v>0</v>
      </c>
      <c r="J39" s="95">
        <f>SUM(H39:I39)</f>
        <v>0</v>
      </c>
    </row>
    <row r="40" spans="1:10" ht="15" customHeight="1">
      <c r="A40" s="25"/>
      <c r="B40" s="154" t="s">
        <v>120</v>
      </c>
      <c r="C40" s="154"/>
      <c r="D40" s="154"/>
      <c r="E40" s="154"/>
      <c r="F40" s="154"/>
      <c r="G40" s="5">
        <f>SUM(G38:G39)</f>
        <v>13.54133383632885</v>
      </c>
      <c r="H40" s="41">
        <f>SUM(H38:H39)</f>
        <v>605495.4258300001</v>
      </c>
      <c r="I40" s="92">
        <f>SUM(I38:I39)</f>
        <v>6038.38667</v>
      </c>
      <c r="J40" s="41">
        <f>SUM(J38:J39)</f>
        <v>611533.8125</v>
      </c>
    </row>
    <row r="41" spans="1:10" ht="15.75" customHeight="1">
      <c r="A41" s="23">
        <v>3</v>
      </c>
      <c r="B41" s="156" t="s">
        <v>169</v>
      </c>
      <c r="C41" s="157"/>
      <c r="D41" s="157"/>
      <c r="E41" s="157"/>
      <c r="F41" s="157"/>
      <c r="G41" s="158"/>
      <c r="H41" s="96">
        <f>H14-H40</f>
        <v>26126.954169999924</v>
      </c>
      <c r="I41" s="80">
        <f>I14-I40</f>
        <v>800.1033299999999</v>
      </c>
      <c r="J41" s="97">
        <f>J14-J40</f>
        <v>26927.057499999995</v>
      </c>
    </row>
    <row r="42" spans="2:6" ht="15.75">
      <c r="B42" s="34"/>
      <c r="F42" s="34"/>
    </row>
    <row r="43" spans="2:6" ht="15.75">
      <c r="B43" s="43" t="s">
        <v>78</v>
      </c>
      <c r="C43" s="43"/>
      <c r="D43" s="43"/>
      <c r="E43" s="34"/>
      <c r="F43" s="34"/>
    </row>
    <row r="44" spans="2:4" ht="15.75">
      <c r="B44" s="43"/>
      <c r="C44" s="43"/>
      <c r="D44" s="43"/>
    </row>
    <row r="45" spans="2:4" ht="15.75">
      <c r="B45" s="34" t="s">
        <v>168</v>
      </c>
      <c r="C45" s="47"/>
      <c r="D45" s="44"/>
    </row>
    <row r="46" spans="2:4" ht="15.75">
      <c r="B46" s="130" t="s">
        <v>88</v>
      </c>
      <c r="C46" s="130"/>
      <c r="D46" s="130"/>
    </row>
  </sheetData>
  <sheetProtection/>
  <mergeCells count="38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7:E37"/>
    <mergeCell ref="B38:F38"/>
    <mergeCell ref="B33:D33"/>
    <mergeCell ref="B34:D34"/>
    <mergeCell ref="B35:D35"/>
    <mergeCell ref="B36:D36"/>
    <mergeCell ref="B39:F39"/>
    <mergeCell ref="B40:F40"/>
    <mergeCell ref="B41:G41"/>
    <mergeCell ref="B46:D46"/>
  </mergeCells>
  <printOptions/>
  <pageMargins left="0.15748031496062992" right="0" top="0" bottom="0" header="0.5118110236220472" footer="0.5118110236220472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16" sqref="E16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7.375" style="0" hidden="1" customWidth="1"/>
    <col min="8" max="8" width="15.875" style="0" customWidth="1"/>
    <col min="9" max="9" width="9.875" style="0" bestFit="1" customWidth="1"/>
  </cols>
  <sheetData>
    <row r="1" spans="1:8" ht="97.5" customHeight="1">
      <c r="A1" s="129" t="s">
        <v>170</v>
      </c>
      <c r="B1" s="129"/>
      <c r="C1" s="129"/>
      <c r="D1" s="129"/>
      <c r="E1" s="129"/>
      <c r="F1" s="129"/>
      <c r="G1" s="129"/>
      <c r="H1" s="129"/>
    </row>
    <row r="2" spans="1:6" ht="18.75">
      <c r="A2" s="1" t="s">
        <v>77</v>
      </c>
      <c r="B2" s="1" t="s">
        <v>86</v>
      </c>
      <c r="C2" s="2"/>
      <c r="D2" s="2" t="s">
        <v>0</v>
      </c>
      <c r="E2" s="4">
        <v>3711.1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72</v>
      </c>
      <c r="F3" s="2"/>
    </row>
    <row r="4" spans="2:7" ht="15.75">
      <c r="B4" s="3" t="s">
        <v>3</v>
      </c>
      <c r="C4" s="4">
        <v>2</v>
      </c>
      <c r="D4" s="2" t="s">
        <v>4</v>
      </c>
      <c r="E4" s="2" t="s">
        <v>83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99" t="s">
        <v>60</v>
      </c>
      <c r="B6" s="179" t="s">
        <v>98</v>
      </c>
      <c r="C6" s="180"/>
      <c r="D6" s="181"/>
      <c r="E6" s="54" t="s">
        <v>6</v>
      </c>
      <c r="F6" s="54" t="s">
        <v>7</v>
      </c>
      <c r="G6" s="100" t="s">
        <v>152</v>
      </c>
      <c r="H6" s="101" t="s">
        <v>90</v>
      </c>
    </row>
    <row r="7" spans="1:8" ht="15.75" customHeight="1">
      <c r="A7" s="55">
        <v>1</v>
      </c>
      <c r="B7" s="182" t="s">
        <v>91</v>
      </c>
      <c r="C7" s="182"/>
      <c r="D7" s="182"/>
      <c r="E7" s="182"/>
      <c r="F7" s="182"/>
      <c r="G7" s="56"/>
      <c r="H7" s="57"/>
    </row>
    <row r="8" spans="1:8" ht="15.75" customHeight="1">
      <c r="A8" s="55"/>
      <c r="B8" s="140" t="s">
        <v>153</v>
      </c>
      <c r="C8" s="140"/>
      <c r="D8" s="140"/>
      <c r="E8" s="140"/>
      <c r="F8" s="140"/>
      <c r="G8" s="24">
        <f>G30</f>
        <v>14.920000000000002</v>
      </c>
      <c r="H8" s="57">
        <f>ROUND($E$2*G8*12,0)</f>
        <v>664435</v>
      </c>
    </row>
    <row r="9" spans="1:8" ht="15.75" customHeight="1">
      <c r="A9" s="55"/>
      <c r="B9" s="184" t="s">
        <v>92</v>
      </c>
      <c r="C9" s="184"/>
      <c r="D9" s="184"/>
      <c r="E9" s="184"/>
      <c r="F9" s="184"/>
      <c r="G9" s="23">
        <v>0.78</v>
      </c>
      <c r="H9" s="57">
        <f>ROUND($E$2*G9*12,0)</f>
        <v>34736</v>
      </c>
    </row>
    <row r="10" spans="1:8" ht="15.75" customHeight="1">
      <c r="A10" s="55">
        <v>2</v>
      </c>
      <c r="B10" s="142" t="s">
        <v>65</v>
      </c>
      <c r="C10" s="142"/>
      <c r="D10" s="142"/>
      <c r="E10" s="142"/>
      <c r="F10" s="142"/>
      <c r="G10" s="58"/>
      <c r="H10" s="57"/>
    </row>
    <row r="11" spans="1:8" ht="18.75" customHeight="1">
      <c r="A11" s="55"/>
      <c r="B11" s="19" t="s">
        <v>66</v>
      </c>
      <c r="C11" s="19"/>
      <c r="D11" s="19"/>
      <c r="E11" s="19"/>
      <c r="F11" s="5"/>
      <c r="G11" s="59"/>
      <c r="H11" s="57"/>
    </row>
    <row r="12" spans="1:8" ht="31.5" customHeight="1">
      <c r="A12" s="60"/>
      <c r="B12" s="183" t="s">
        <v>165</v>
      </c>
      <c r="C12" s="183"/>
      <c r="D12" s="183"/>
      <c r="E12" s="79" t="s">
        <v>32</v>
      </c>
      <c r="F12" s="61" t="s">
        <v>24</v>
      </c>
      <c r="G12" s="62">
        <v>1.26</v>
      </c>
      <c r="H12" s="63">
        <f aca="true" t="shared" si="0" ref="H12:H30">ROUND($E$2*G12*12,0)</f>
        <v>56112</v>
      </c>
    </row>
    <row r="13" spans="1:9" ht="15.75" customHeight="1">
      <c r="A13" s="60"/>
      <c r="B13" s="183" t="s">
        <v>17</v>
      </c>
      <c r="C13" s="183"/>
      <c r="D13" s="183"/>
      <c r="E13" s="79" t="s">
        <v>32</v>
      </c>
      <c r="F13" s="61" t="s">
        <v>19</v>
      </c>
      <c r="G13" s="62">
        <v>0.29</v>
      </c>
      <c r="H13" s="63">
        <f t="shared" si="0"/>
        <v>12915</v>
      </c>
      <c r="I13" s="31"/>
    </row>
    <row r="14" spans="1:8" ht="18.75" customHeight="1">
      <c r="A14" s="60"/>
      <c r="B14" s="185" t="s">
        <v>23</v>
      </c>
      <c r="C14" s="185"/>
      <c r="D14" s="185"/>
      <c r="E14" s="83" t="s">
        <v>110</v>
      </c>
      <c r="F14" s="64" t="s">
        <v>20</v>
      </c>
      <c r="G14" s="62">
        <v>1.02</v>
      </c>
      <c r="H14" s="63">
        <f t="shared" si="0"/>
        <v>45424</v>
      </c>
    </row>
    <row r="15" spans="1:8" ht="15.75" customHeight="1">
      <c r="A15" s="60"/>
      <c r="B15" s="187" t="s">
        <v>31</v>
      </c>
      <c r="C15" s="187"/>
      <c r="D15" s="187"/>
      <c r="E15" s="85" t="s">
        <v>9</v>
      </c>
      <c r="F15" s="65" t="s">
        <v>10</v>
      </c>
      <c r="G15" s="62">
        <v>0.53</v>
      </c>
      <c r="H15" s="63">
        <f t="shared" si="0"/>
        <v>23603</v>
      </c>
    </row>
    <row r="16" spans="1:8" ht="52.5" customHeight="1">
      <c r="A16" s="60"/>
      <c r="B16" s="185" t="s">
        <v>27</v>
      </c>
      <c r="C16" s="185"/>
      <c r="D16" s="185"/>
      <c r="E16" s="83" t="s">
        <v>111</v>
      </c>
      <c r="F16" s="64" t="s">
        <v>25</v>
      </c>
      <c r="G16" s="62">
        <v>0.12</v>
      </c>
      <c r="H16" s="63">
        <f t="shared" si="0"/>
        <v>5344</v>
      </c>
    </row>
    <row r="17" spans="1:8" ht="15.75" customHeight="1">
      <c r="A17" s="60"/>
      <c r="B17" s="185" t="s">
        <v>11</v>
      </c>
      <c r="C17" s="185"/>
      <c r="D17" s="185"/>
      <c r="E17" s="83" t="s">
        <v>9</v>
      </c>
      <c r="F17" s="64" t="s">
        <v>12</v>
      </c>
      <c r="G17" s="62">
        <v>2.29</v>
      </c>
      <c r="H17" s="63">
        <f t="shared" si="0"/>
        <v>101981</v>
      </c>
    </row>
    <row r="18" spans="1:8" ht="15.75" customHeight="1">
      <c r="A18" s="60"/>
      <c r="B18" s="185" t="s">
        <v>26</v>
      </c>
      <c r="C18" s="186"/>
      <c r="D18" s="186"/>
      <c r="E18" s="86" t="s">
        <v>13</v>
      </c>
      <c r="F18" s="58" t="s">
        <v>93</v>
      </c>
      <c r="G18" s="62">
        <v>0.05</v>
      </c>
      <c r="H18" s="63">
        <f t="shared" si="0"/>
        <v>2227</v>
      </c>
    </row>
    <row r="19" spans="1:8" ht="33" customHeight="1">
      <c r="A19" s="60"/>
      <c r="B19" s="185" t="s">
        <v>71</v>
      </c>
      <c r="C19" s="185"/>
      <c r="D19" s="185"/>
      <c r="E19" s="79" t="s">
        <v>35</v>
      </c>
      <c r="F19" s="64" t="s">
        <v>82</v>
      </c>
      <c r="G19" s="62">
        <v>2.21</v>
      </c>
      <c r="H19" s="63">
        <f t="shared" si="0"/>
        <v>98418</v>
      </c>
    </row>
    <row r="20" spans="1:8" ht="51">
      <c r="A20" s="60"/>
      <c r="B20" s="183" t="s">
        <v>15</v>
      </c>
      <c r="C20" s="183"/>
      <c r="D20" s="183"/>
      <c r="E20" s="79" t="s">
        <v>94</v>
      </c>
      <c r="F20" s="64" t="s">
        <v>82</v>
      </c>
      <c r="G20" s="62">
        <v>0.55</v>
      </c>
      <c r="H20" s="63">
        <f>ROUND($E$2*G20/2*1*12,0)</f>
        <v>12247</v>
      </c>
    </row>
    <row r="21" spans="1:8" ht="31.5" customHeight="1">
      <c r="A21" s="60"/>
      <c r="B21" s="185" t="s">
        <v>36</v>
      </c>
      <c r="C21" s="186"/>
      <c r="D21" s="186"/>
      <c r="E21" s="79" t="s">
        <v>35</v>
      </c>
      <c r="F21" s="64" t="s">
        <v>82</v>
      </c>
      <c r="G21" s="62">
        <f>3.62-G22-G23</f>
        <v>3.3200000000000003</v>
      </c>
      <c r="H21" s="63">
        <f t="shared" si="0"/>
        <v>147850</v>
      </c>
    </row>
    <row r="22" spans="1:8" ht="15.75" customHeight="1">
      <c r="A22" s="60"/>
      <c r="B22" s="185" t="s">
        <v>154</v>
      </c>
      <c r="C22" s="185"/>
      <c r="D22" s="185"/>
      <c r="E22" s="83" t="s">
        <v>9</v>
      </c>
      <c r="F22" s="64" t="s">
        <v>82</v>
      </c>
      <c r="G22" s="62">
        <v>0.3</v>
      </c>
      <c r="H22" s="63">
        <f t="shared" si="0"/>
        <v>13360</v>
      </c>
    </row>
    <row r="23" spans="1:8" ht="36.75" customHeight="1">
      <c r="A23" s="60"/>
      <c r="B23" s="185" t="s">
        <v>113</v>
      </c>
      <c r="C23" s="185"/>
      <c r="D23" s="185"/>
      <c r="E23" s="83" t="s">
        <v>9</v>
      </c>
      <c r="F23" s="64" t="s">
        <v>82</v>
      </c>
      <c r="G23" s="62">
        <v>0</v>
      </c>
      <c r="H23" s="63">
        <f t="shared" si="0"/>
        <v>0</v>
      </c>
    </row>
    <row r="24" spans="1:8" ht="25.5">
      <c r="A24" s="60"/>
      <c r="B24" s="186" t="s">
        <v>21</v>
      </c>
      <c r="C24" s="186"/>
      <c r="D24" s="186"/>
      <c r="E24" s="79" t="s">
        <v>35</v>
      </c>
      <c r="F24" s="64" t="s">
        <v>82</v>
      </c>
      <c r="G24" s="62">
        <v>1.49</v>
      </c>
      <c r="H24" s="63">
        <f t="shared" si="0"/>
        <v>66354</v>
      </c>
    </row>
    <row r="25" spans="1:8" ht="15.75">
      <c r="A25" s="23"/>
      <c r="B25" s="160" t="s">
        <v>114</v>
      </c>
      <c r="C25" s="161"/>
      <c r="D25" s="162"/>
      <c r="E25" s="83" t="s">
        <v>9</v>
      </c>
      <c r="F25" s="64"/>
      <c r="G25" s="62"/>
      <c r="H25" s="63"/>
    </row>
    <row r="26" spans="1:8" ht="31.5" customHeight="1">
      <c r="A26" s="23"/>
      <c r="B26" s="160" t="s">
        <v>115</v>
      </c>
      <c r="C26" s="161"/>
      <c r="D26" s="162"/>
      <c r="E26" s="79" t="s">
        <v>35</v>
      </c>
      <c r="F26" s="64"/>
      <c r="G26" s="62"/>
      <c r="H26" s="63"/>
    </row>
    <row r="27" spans="1:8" ht="15.75">
      <c r="A27" s="60"/>
      <c r="B27" s="148"/>
      <c r="C27" s="149"/>
      <c r="D27" s="150"/>
      <c r="E27" s="79"/>
      <c r="F27" s="64"/>
      <c r="G27" s="62"/>
      <c r="H27" s="63"/>
    </row>
    <row r="28" spans="1:8" ht="15.75">
      <c r="A28" s="60"/>
      <c r="B28" s="188" t="s">
        <v>30</v>
      </c>
      <c r="C28" s="189"/>
      <c r="D28" s="190"/>
      <c r="E28" s="14"/>
      <c r="F28" s="64"/>
      <c r="G28" s="21">
        <f>SUM(G12:G27)</f>
        <v>13.430000000000001</v>
      </c>
      <c r="H28" s="63">
        <f t="shared" si="0"/>
        <v>598081</v>
      </c>
    </row>
    <row r="29" spans="1:8" ht="15.75">
      <c r="A29" s="55" t="s">
        <v>116</v>
      </c>
      <c r="B29" s="151" t="s">
        <v>171</v>
      </c>
      <c r="C29" s="152"/>
      <c r="D29" s="152"/>
      <c r="E29" s="153"/>
      <c r="F29" s="50" t="s">
        <v>95</v>
      </c>
      <c r="G29" s="24">
        <v>1.49</v>
      </c>
      <c r="H29" s="63">
        <v>12000</v>
      </c>
    </row>
    <row r="30" spans="1:8" ht="15.75" customHeight="1">
      <c r="A30" s="55"/>
      <c r="B30" s="175" t="s">
        <v>156</v>
      </c>
      <c r="C30" s="175"/>
      <c r="D30" s="175"/>
      <c r="E30" s="175"/>
      <c r="F30" s="175"/>
      <c r="G30" s="21">
        <f>SUM(G28:G29)</f>
        <v>14.920000000000002</v>
      </c>
      <c r="H30" s="102">
        <f t="shared" si="0"/>
        <v>664435</v>
      </c>
    </row>
    <row r="31" spans="1:8" ht="16.5" thickBot="1">
      <c r="A31" s="103">
        <v>3</v>
      </c>
      <c r="B31" s="191" t="s">
        <v>172</v>
      </c>
      <c r="C31" s="177"/>
      <c r="D31" s="178"/>
      <c r="E31" s="104"/>
      <c r="F31" s="105" t="s">
        <v>95</v>
      </c>
      <c r="G31" s="106">
        <v>0.78</v>
      </c>
      <c r="H31" s="107">
        <f>ROUND($E$2*G31*12,0)</f>
        <v>34736</v>
      </c>
    </row>
    <row r="32" spans="2:7" ht="47.25" customHeight="1">
      <c r="B32" s="192" t="s">
        <v>173</v>
      </c>
      <c r="C32" s="192"/>
      <c r="D32" s="192"/>
      <c r="E32" s="192"/>
      <c r="F32" s="66"/>
      <c r="G32" s="67"/>
    </row>
    <row r="33" spans="1:7" ht="21" customHeight="1">
      <c r="A33" s="109" t="s">
        <v>174</v>
      </c>
      <c r="B33" s="108"/>
      <c r="C33" s="108"/>
      <c r="D33" s="108"/>
      <c r="E33" s="108"/>
      <c r="F33" s="66"/>
      <c r="G33" s="67"/>
    </row>
    <row r="34" spans="1:8" ht="25.5" customHeight="1">
      <c r="A34" s="43" t="s">
        <v>78</v>
      </c>
      <c r="B34" s="43"/>
      <c r="C34" s="43"/>
      <c r="D34" s="34"/>
      <c r="G34" s="66"/>
      <c r="H34" s="67"/>
    </row>
  </sheetData>
  <sheetProtection/>
  <mergeCells count="27">
    <mergeCell ref="B16:D16"/>
    <mergeCell ref="B17:D17"/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28:D28"/>
    <mergeCell ref="B18:D18"/>
    <mergeCell ref="B19:D19"/>
    <mergeCell ref="B20:D20"/>
    <mergeCell ref="B21:D21"/>
    <mergeCell ref="B22:D22"/>
    <mergeCell ref="B23:D23"/>
    <mergeCell ref="B24:D24"/>
    <mergeCell ref="B30:F30"/>
    <mergeCell ref="B31:D31"/>
    <mergeCell ref="B32:E32"/>
    <mergeCell ref="B25:D25"/>
    <mergeCell ref="B26:D26"/>
    <mergeCell ref="B27:D27"/>
    <mergeCell ref="B29:E29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6">
      <selection activeCell="B29" sqref="B29:D29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10.50390625" style="0" customWidth="1"/>
    <col min="8" max="8" width="15.875" style="0" customWidth="1"/>
    <col min="9" max="9" width="9.875" style="0" bestFit="1" customWidth="1"/>
  </cols>
  <sheetData>
    <row r="1" spans="3:8" ht="63" customHeight="1">
      <c r="C1" s="194" t="s">
        <v>176</v>
      </c>
      <c r="D1" s="194"/>
      <c r="E1" s="194"/>
      <c r="F1" s="194"/>
      <c r="G1" s="194"/>
      <c r="H1" s="194"/>
    </row>
    <row r="3" spans="1:7" ht="20.25" customHeight="1">
      <c r="A3" s="129" t="s">
        <v>175</v>
      </c>
      <c r="B3" s="129"/>
      <c r="C3" s="129"/>
      <c r="D3" s="129"/>
      <c r="E3" s="129"/>
      <c r="F3" s="129"/>
      <c r="G3" s="129"/>
    </row>
    <row r="4" spans="1:6" ht="19.5">
      <c r="A4" s="118"/>
      <c r="B4" s="118"/>
      <c r="C4" s="118"/>
      <c r="D4" s="118"/>
      <c r="E4" s="118"/>
      <c r="F4" s="118"/>
    </row>
    <row r="5" spans="1:6" ht="19.5">
      <c r="A5" s="195" t="s">
        <v>181</v>
      </c>
      <c r="B5" s="195"/>
      <c r="C5" s="195"/>
      <c r="D5" s="195"/>
      <c r="E5" s="195"/>
      <c r="F5" s="118"/>
    </row>
    <row r="7" spans="1:6" ht="18.75">
      <c r="A7" s="1" t="s">
        <v>77</v>
      </c>
      <c r="B7" s="1" t="s">
        <v>86</v>
      </c>
      <c r="C7" s="2"/>
      <c r="D7" s="2" t="s">
        <v>0</v>
      </c>
      <c r="E7" s="4">
        <v>3748.4</v>
      </c>
      <c r="F7" s="2"/>
    </row>
    <row r="8" spans="2:6" ht="15.75">
      <c r="B8" s="3" t="s">
        <v>1</v>
      </c>
      <c r="C8" s="27">
        <v>9</v>
      </c>
      <c r="D8" s="2" t="s">
        <v>2</v>
      </c>
      <c r="E8" s="4" t="s">
        <v>183</v>
      </c>
      <c r="F8" s="2"/>
    </row>
    <row r="9" spans="2:7" ht="15.75">
      <c r="B9" s="3" t="s">
        <v>3</v>
      </c>
      <c r="C9" s="4">
        <v>2</v>
      </c>
      <c r="D9" s="2" t="s">
        <v>4</v>
      </c>
      <c r="E9" s="2" t="s">
        <v>83</v>
      </c>
      <c r="F9" s="2"/>
      <c r="G9" s="2"/>
    </row>
    <row r="10" spans="2:7" ht="16.5" thickBot="1">
      <c r="B10" s="3"/>
      <c r="C10" s="4"/>
      <c r="D10" s="2" t="s">
        <v>5</v>
      </c>
      <c r="E10" s="2" t="s">
        <v>16</v>
      </c>
      <c r="F10" s="2"/>
      <c r="G10" s="2"/>
    </row>
    <row r="11" spans="1:8" ht="42" customHeight="1">
      <c r="A11" s="99" t="s">
        <v>60</v>
      </c>
      <c r="B11" s="179" t="s">
        <v>98</v>
      </c>
      <c r="C11" s="180"/>
      <c r="D11" s="181"/>
      <c r="E11" s="54" t="s">
        <v>6</v>
      </c>
      <c r="F11" s="54" t="s">
        <v>7</v>
      </c>
      <c r="G11" s="100" t="s">
        <v>152</v>
      </c>
      <c r="H11" s="101" t="s">
        <v>90</v>
      </c>
    </row>
    <row r="12" spans="1:8" ht="24.75" customHeight="1">
      <c r="A12" s="111"/>
      <c r="B12" s="112"/>
      <c r="C12" s="113"/>
      <c r="D12" s="114"/>
      <c r="E12" s="115"/>
      <c r="F12" s="115"/>
      <c r="G12" s="116"/>
      <c r="H12" s="117"/>
    </row>
    <row r="13" spans="1:8" ht="15.75" customHeight="1" hidden="1">
      <c r="A13" s="55">
        <v>1</v>
      </c>
      <c r="B13" s="182" t="s">
        <v>91</v>
      </c>
      <c r="C13" s="182"/>
      <c r="D13" s="182"/>
      <c r="E13" s="182"/>
      <c r="F13" s="182"/>
      <c r="G13" s="56"/>
      <c r="H13" s="57"/>
    </row>
    <row r="14" spans="1:8" ht="15.75" customHeight="1" hidden="1">
      <c r="A14" s="55"/>
      <c r="B14" s="140" t="s">
        <v>153</v>
      </c>
      <c r="C14" s="140"/>
      <c r="D14" s="140"/>
      <c r="E14" s="140"/>
      <c r="F14" s="140"/>
      <c r="G14" s="24">
        <f>G36</f>
        <v>15.36</v>
      </c>
      <c r="H14" s="57">
        <f>ROUND($E$7*G14*12,0)</f>
        <v>690905</v>
      </c>
    </row>
    <row r="15" spans="1:8" ht="15.75" customHeight="1" hidden="1">
      <c r="A15" s="55"/>
      <c r="B15" s="184" t="s">
        <v>92</v>
      </c>
      <c r="C15" s="184"/>
      <c r="D15" s="184"/>
      <c r="E15" s="184"/>
      <c r="F15" s="184"/>
      <c r="G15" s="23">
        <v>0.78</v>
      </c>
      <c r="H15" s="57">
        <f>ROUND($E$7*G15*12,0)</f>
        <v>35085</v>
      </c>
    </row>
    <row r="16" spans="1:8" ht="15.75" customHeight="1">
      <c r="A16" s="55">
        <v>1</v>
      </c>
      <c r="B16" s="142" t="s">
        <v>65</v>
      </c>
      <c r="C16" s="142"/>
      <c r="D16" s="142"/>
      <c r="E16" s="142"/>
      <c r="F16" s="142"/>
      <c r="G16" s="58"/>
      <c r="H16" s="57"/>
    </row>
    <row r="17" spans="1:8" ht="18.75" customHeight="1">
      <c r="A17" s="55">
        <v>1.1</v>
      </c>
      <c r="B17" s="19" t="s">
        <v>66</v>
      </c>
      <c r="C17" s="19"/>
      <c r="D17" s="19"/>
      <c r="E17" s="19"/>
      <c r="F17" s="5"/>
      <c r="G17" s="59"/>
      <c r="H17" s="57"/>
    </row>
    <row r="18" spans="1:8" ht="31.5" customHeight="1">
      <c r="A18" s="60"/>
      <c r="B18" s="183" t="s">
        <v>165</v>
      </c>
      <c r="C18" s="183"/>
      <c r="D18" s="183"/>
      <c r="E18" s="79" t="s">
        <v>32</v>
      </c>
      <c r="F18" s="61" t="s">
        <v>24</v>
      </c>
      <c r="G18" s="62">
        <v>1.29</v>
      </c>
      <c r="H18" s="63">
        <f>ROUND($E$7*G18*6,0)</f>
        <v>29013</v>
      </c>
    </row>
    <row r="19" spans="1:9" ht="15.75" customHeight="1">
      <c r="A19" s="60"/>
      <c r="B19" s="183" t="s">
        <v>17</v>
      </c>
      <c r="C19" s="183"/>
      <c r="D19" s="183"/>
      <c r="E19" s="79" t="s">
        <v>32</v>
      </c>
      <c r="F19" s="61" t="s">
        <v>19</v>
      </c>
      <c r="G19" s="62">
        <v>0.3</v>
      </c>
      <c r="H19" s="63">
        <f aca="true" t="shared" si="0" ref="H19:H25">ROUND($E$7*G19*6,0)</f>
        <v>6747</v>
      </c>
      <c r="I19" s="31"/>
    </row>
    <row r="20" spans="1:8" ht="18.75" customHeight="1">
      <c r="A20" s="60"/>
      <c r="B20" s="185" t="s">
        <v>23</v>
      </c>
      <c r="C20" s="185"/>
      <c r="D20" s="185"/>
      <c r="E20" s="83" t="s">
        <v>110</v>
      </c>
      <c r="F20" s="64" t="s">
        <v>20</v>
      </c>
      <c r="G20" s="62">
        <v>1.05</v>
      </c>
      <c r="H20" s="63">
        <f t="shared" si="0"/>
        <v>23615</v>
      </c>
    </row>
    <row r="21" spans="1:8" ht="15.75" customHeight="1">
      <c r="A21" s="60"/>
      <c r="B21" s="187" t="s">
        <v>31</v>
      </c>
      <c r="C21" s="187"/>
      <c r="D21" s="187"/>
      <c r="E21" s="85" t="s">
        <v>9</v>
      </c>
      <c r="F21" s="65" t="s">
        <v>10</v>
      </c>
      <c r="G21" s="62">
        <v>0.54</v>
      </c>
      <c r="H21" s="63">
        <f t="shared" si="0"/>
        <v>12145</v>
      </c>
    </row>
    <row r="22" spans="1:8" ht="31.5" customHeight="1">
      <c r="A22" s="60"/>
      <c r="B22" s="185" t="s">
        <v>27</v>
      </c>
      <c r="C22" s="185"/>
      <c r="D22" s="185"/>
      <c r="E22" s="83" t="s">
        <v>111</v>
      </c>
      <c r="F22" s="64" t="s">
        <v>25</v>
      </c>
      <c r="G22" s="62">
        <v>0.13</v>
      </c>
      <c r="H22" s="63">
        <f t="shared" si="0"/>
        <v>2924</v>
      </c>
    </row>
    <row r="23" spans="1:8" ht="15.75" customHeight="1">
      <c r="A23" s="60"/>
      <c r="B23" s="185" t="s">
        <v>11</v>
      </c>
      <c r="C23" s="185"/>
      <c r="D23" s="185"/>
      <c r="E23" s="83" t="s">
        <v>9</v>
      </c>
      <c r="F23" s="64" t="s">
        <v>12</v>
      </c>
      <c r="G23" s="62">
        <v>2.35</v>
      </c>
      <c r="H23" s="63">
        <f t="shared" si="0"/>
        <v>52852</v>
      </c>
    </row>
    <row r="24" spans="1:8" ht="15.75" customHeight="1">
      <c r="A24" s="60"/>
      <c r="B24" s="185" t="s">
        <v>26</v>
      </c>
      <c r="C24" s="186"/>
      <c r="D24" s="186"/>
      <c r="E24" s="86" t="s">
        <v>13</v>
      </c>
      <c r="F24" s="58" t="s">
        <v>93</v>
      </c>
      <c r="G24" s="62">
        <v>0.05</v>
      </c>
      <c r="H24" s="63">
        <f t="shared" si="0"/>
        <v>1125</v>
      </c>
    </row>
    <row r="25" spans="1:8" ht="33" customHeight="1">
      <c r="A25" s="60"/>
      <c r="B25" s="185" t="s">
        <v>71</v>
      </c>
      <c r="C25" s="185"/>
      <c r="D25" s="185"/>
      <c r="E25" s="79" t="s">
        <v>35</v>
      </c>
      <c r="F25" s="64" t="s">
        <v>82</v>
      </c>
      <c r="G25" s="62">
        <v>2.28</v>
      </c>
      <c r="H25" s="63">
        <f t="shared" si="0"/>
        <v>51278</v>
      </c>
    </row>
    <row r="26" spans="1:8" ht="51">
      <c r="A26" s="60"/>
      <c r="B26" s="183" t="s">
        <v>15</v>
      </c>
      <c r="C26" s="183"/>
      <c r="D26" s="183"/>
      <c r="E26" s="79" t="s">
        <v>94</v>
      </c>
      <c r="F26" s="64" t="s">
        <v>82</v>
      </c>
      <c r="G26" s="62">
        <v>0.56</v>
      </c>
      <c r="H26" s="63">
        <f>ROUND($E$7*G26/2*1*6,0)</f>
        <v>6297</v>
      </c>
    </row>
    <row r="27" spans="1:8" ht="31.5" customHeight="1">
      <c r="A27" s="60"/>
      <c r="B27" s="185" t="s">
        <v>36</v>
      </c>
      <c r="C27" s="186"/>
      <c r="D27" s="186"/>
      <c r="E27" s="79" t="s">
        <v>35</v>
      </c>
      <c r="F27" s="64" t="s">
        <v>82</v>
      </c>
      <c r="G27" s="62">
        <f>3.73-G28-G29</f>
        <v>3.42</v>
      </c>
      <c r="H27" s="63">
        <f>ROUND($E$7*G27*6,0)</f>
        <v>76917</v>
      </c>
    </row>
    <row r="28" spans="1:8" ht="15.75" customHeight="1">
      <c r="A28" s="60"/>
      <c r="B28" s="185" t="s">
        <v>154</v>
      </c>
      <c r="C28" s="185"/>
      <c r="D28" s="185"/>
      <c r="E28" s="83" t="s">
        <v>9</v>
      </c>
      <c r="F28" s="64" t="s">
        <v>82</v>
      </c>
      <c r="G28" s="62">
        <v>0.31</v>
      </c>
      <c r="H28" s="63">
        <f aca="true" t="shared" si="1" ref="H28:H37">ROUND($E$7*G28*6,0)</f>
        <v>6972</v>
      </c>
    </row>
    <row r="29" spans="1:8" ht="36.75" customHeight="1">
      <c r="A29" s="60"/>
      <c r="B29" s="185" t="s">
        <v>113</v>
      </c>
      <c r="C29" s="185"/>
      <c r="D29" s="185"/>
      <c r="E29" s="83" t="s">
        <v>9</v>
      </c>
      <c r="F29" s="64" t="s">
        <v>82</v>
      </c>
      <c r="G29" s="62">
        <v>0</v>
      </c>
      <c r="H29" s="63">
        <f t="shared" si="1"/>
        <v>0</v>
      </c>
    </row>
    <row r="30" spans="1:8" ht="25.5">
      <c r="A30" s="60"/>
      <c r="B30" s="186" t="s">
        <v>21</v>
      </c>
      <c r="C30" s="186"/>
      <c r="D30" s="186"/>
      <c r="E30" s="79" t="s">
        <v>35</v>
      </c>
      <c r="F30" s="64" t="s">
        <v>82</v>
      </c>
      <c r="G30" s="62">
        <v>1.54</v>
      </c>
      <c r="H30" s="63">
        <f t="shared" si="1"/>
        <v>34635</v>
      </c>
    </row>
    <row r="31" spans="1:8" ht="15.75" hidden="1">
      <c r="A31" s="23"/>
      <c r="B31" s="160" t="s">
        <v>114</v>
      </c>
      <c r="C31" s="161"/>
      <c r="D31" s="162"/>
      <c r="E31" s="83" t="s">
        <v>9</v>
      </c>
      <c r="F31" s="64"/>
      <c r="G31" s="62"/>
      <c r="H31" s="63">
        <f t="shared" si="1"/>
        <v>0</v>
      </c>
    </row>
    <row r="32" spans="1:8" ht="31.5" customHeight="1" hidden="1">
      <c r="A32" s="23"/>
      <c r="B32" s="160" t="s">
        <v>115</v>
      </c>
      <c r="C32" s="161"/>
      <c r="D32" s="162"/>
      <c r="E32" s="79" t="s">
        <v>35</v>
      </c>
      <c r="F32" s="64"/>
      <c r="G32" s="62"/>
      <c r="H32" s="63">
        <f t="shared" si="1"/>
        <v>0</v>
      </c>
    </row>
    <row r="33" spans="1:8" ht="15.75">
      <c r="A33" s="60"/>
      <c r="B33" s="148"/>
      <c r="C33" s="149"/>
      <c r="D33" s="150"/>
      <c r="E33" s="79"/>
      <c r="F33" s="64"/>
      <c r="G33" s="62"/>
      <c r="H33" s="63">
        <f t="shared" si="1"/>
        <v>0</v>
      </c>
    </row>
    <row r="34" spans="1:8" ht="15.75">
      <c r="A34" s="60"/>
      <c r="B34" s="188" t="s">
        <v>30</v>
      </c>
      <c r="C34" s="189"/>
      <c r="D34" s="190"/>
      <c r="E34" s="14"/>
      <c r="F34" s="64"/>
      <c r="G34" s="21">
        <f>SUM(G18:G33)</f>
        <v>13.82</v>
      </c>
      <c r="H34" s="63">
        <f t="shared" si="1"/>
        <v>310817</v>
      </c>
    </row>
    <row r="35" spans="1:8" ht="15.75" customHeight="1">
      <c r="A35" s="55">
        <v>1.2</v>
      </c>
      <c r="B35" s="151" t="s">
        <v>171</v>
      </c>
      <c r="C35" s="152"/>
      <c r="D35" s="152"/>
      <c r="E35" s="119" t="s">
        <v>182</v>
      </c>
      <c r="F35" s="50" t="s">
        <v>95</v>
      </c>
      <c r="G35" s="24">
        <v>1.54</v>
      </c>
      <c r="H35" s="63">
        <f>ROUND($E$7*G35*6,0)</f>
        <v>34635</v>
      </c>
    </row>
    <row r="36" spans="1:8" ht="15.75" customHeight="1">
      <c r="A36" s="55">
        <v>1.3</v>
      </c>
      <c r="B36" s="175" t="s">
        <v>156</v>
      </c>
      <c r="C36" s="175"/>
      <c r="D36" s="175"/>
      <c r="E36" s="175"/>
      <c r="F36" s="175"/>
      <c r="G36" s="21">
        <f>SUM(G34:G35)</f>
        <v>15.36</v>
      </c>
      <c r="H36" s="63">
        <f t="shared" si="1"/>
        <v>345453</v>
      </c>
    </row>
    <row r="37" spans="1:8" ht="16.5" thickBot="1">
      <c r="A37" s="103">
        <v>2</v>
      </c>
      <c r="B37" s="191" t="s">
        <v>172</v>
      </c>
      <c r="C37" s="177"/>
      <c r="D37" s="178"/>
      <c r="E37" s="119" t="s">
        <v>182</v>
      </c>
      <c r="F37" s="105" t="s">
        <v>95</v>
      </c>
      <c r="G37" s="21">
        <v>0.8</v>
      </c>
      <c r="H37" s="63">
        <f t="shared" si="1"/>
        <v>17992</v>
      </c>
    </row>
    <row r="38" spans="2:7" ht="47.25" customHeight="1" hidden="1">
      <c r="B38" s="192" t="s">
        <v>173</v>
      </c>
      <c r="C38" s="192"/>
      <c r="D38" s="192"/>
      <c r="E38" s="192"/>
      <c r="F38" s="66"/>
      <c r="G38" s="67"/>
    </row>
    <row r="39" spans="1:7" ht="21" customHeight="1" hidden="1">
      <c r="A39" s="109" t="s">
        <v>174</v>
      </c>
      <c r="B39" s="108"/>
      <c r="C39" s="108"/>
      <c r="D39" s="108"/>
      <c r="E39" s="108"/>
      <c r="F39" s="66"/>
      <c r="G39" s="67"/>
    </row>
    <row r="41" spans="1:8" ht="15.75">
      <c r="A41" s="193" t="s">
        <v>177</v>
      </c>
      <c r="B41" s="193"/>
      <c r="C41" s="193"/>
      <c r="D41" s="193"/>
      <c r="E41" s="34" t="s">
        <v>178</v>
      </c>
      <c r="F41" s="34"/>
      <c r="G41" s="34"/>
      <c r="H41" s="34"/>
    </row>
    <row r="43" spans="1:5" ht="15.75">
      <c r="A43" s="193" t="s">
        <v>179</v>
      </c>
      <c r="B43" s="193"/>
      <c r="C43" s="193"/>
      <c r="D43" s="193"/>
      <c r="E43" t="s">
        <v>180</v>
      </c>
    </row>
  </sheetData>
  <mergeCells count="31">
    <mergeCell ref="B28:D28"/>
    <mergeCell ref="B29:D29"/>
    <mergeCell ref="B11:D11"/>
    <mergeCell ref="B13:F13"/>
    <mergeCell ref="B14:F14"/>
    <mergeCell ref="B22:D22"/>
    <mergeCell ref="A3:G3"/>
    <mergeCell ref="A5:E5"/>
    <mergeCell ref="B35:D35"/>
    <mergeCell ref="B23:D23"/>
    <mergeCell ref="B15:F15"/>
    <mergeCell ref="B16:F16"/>
    <mergeCell ref="B18:D18"/>
    <mergeCell ref="B19:D19"/>
    <mergeCell ref="B33:D33"/>
    <mergeCell ref="B34:D34"/>
    <mergeCell ref="C1:H1"/>
    <mergeCell ref="B32:D32"/>
    <mergeCell ref="B24:D24"/>
    <mergeCell ref="B25:D25"/>
    <mergeCell ref="B26:D26"/>
    <mergeCell ref="B27:D27"/>
    <mergeCell ref="B20:D20"/>
    <mergeCell ref="B21:D21"/>
    <mergeCell ref="B30:D30"/>
    <mergeCell ref="B31:D31"/>
    <mergeCell ref="A41:D41"/>
    <mergeCell ref="A43:D43"/>
    <mergeCell ref="B36:F36"/>
    <mergeCell ref="B37:D37"/>
    <mergeCell ref="B38:E38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A1">
      <selection activeCell="Q7" sqref="Q7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75390625" style="0" customWidth="1"/>
    <col min="6" max="6" width="22.50390625" style="0" hidden="1" customWidth="1"/>
    <col min="7" max="7" width="9.625" style="0" hidden="1" customWidth="1"/>
    <col min="8" max="8" width="13.25390625" style="0" hidden="1" customWidth="1"/>
    <col min="9" max="9" width="12.00390625" style="0" hidden="1" customWidth="1"/>
    <col min="10" max="10" width="13.00390625" style="0" hidden="1" customWidth="1"/>
    <col min="11" max="11" width="20.625" style="0" customWidth="1"/>
    <col min="12" max="13" width="0" style="0" hidden="1" customWidth="1"/>
  </cols>
  <sheetData>
    <row r="1" spans="1:11" ht="107.25" customHeight="1">
      <c r="A1" s="129" t="s">
        <v>184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66.75" customHeight="1">
      <c r="A2" s="121" t="s">
        <v>185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9" ht="31.5">
      <c r="A3" s="1" t="s">
        <v>77</v>
      </c>
      <c r="B3" s="1" t="s">
        <v>86</v>
      </c>
      <c r="C3" s="2"/>
      <c r="D3" s="206" t="s">
        <v>186</v>
      </c>
      <c r="E3" s="4">
        <v>3750.1</v>
      </c>
      <c r="F3" s="2"/>
      <c r="I3" s="68"/>
    </row>
    <row r="4" spans="2:6" ht="15.75">
      <c r="B4" s="3" t="s">
        <v>1</v>
      </c>
      <c r="C4" s="27">
        <v>9</v>
      </c>
      <c r="D4" s="2" t="s">
        <v>2</v>
      </c>
      <c r="E4" s="4" t="s">
        <v>183</v>
      </c>
      <c r="F4" s="2"/>
    </row>
    <row r="5" spans="2:9" ht="15.75">
      <c r="B5" s="3" t="s">
        <v>3</v>
      </c>
      <c r="C5" s="4">
        <v>2</v>
      </c>
      <c r="D5" s="2" t="s">
        <v>4</v>
      </c>
      <c r="E5" s="2" t="s">
        <v>83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3" ht="66" customHeight="1">
      <c r="A7" s="22" t="s">
        <v>60</v>
      </c>
      <c r="B7" s="169" t="s">
        <v>98</v>
      </c>
      <c r="C7" s="170"/>
      <c r="D7" s="171"/>
      <c r="E7" s="11" t="s">
        <v>6</v>
      </c>
      <c r="F7" s="11" t="s">
        <v>7</v>
      </c>
      <c r="G7" s="33" t="s">
        <v>187</v>
      </c>
      <c r="H7" s="207" t="s">
        <v>188</v>
      </c>
      <c r="I7" s="172" t="s">
        <v>189</v>
      </c>
      <c r="J7" s="173"/>
      <c r="K7" s="174"/>
      <c r="L7" s="51">
        <v>9</v>
      </c>
      <c r="M7" s="208" t="s">
        <v>190</v>
      </c>
    </row>
    <row r="8" spans="1:11" ht="15.75" hidden="1">
      <c r="A8" s="23">
        <v>1</v>
      </c>
      <c r="B8" s="123"/>
      <c r="C8" s="124"/>
      <c r="D8" s="124"/>
      <c r="E8" s="124"/>
      <c r="F8" s="147"/>
      <c r="G8" s="209"/>
      <c r="H8" s="209"/>
      <c r="I8" s="210" t="s">
        <v>100</v>
      </c>
      <c r="J8" s="72" t="s">
        <v>101</v>
      </c>
      <c r="K8" s="72" t="s">
        <v>102</v>
      </c>
    </row>
    <row r="9" spans="1:11" ht="22.5" customHeight="1">
      <c r="A9" s="23"/>
      <c r="B9" s="123" t="s">
        <v>103</v>
      </c>
      <c r="C9" s="124"/>
      <c r="D9" s="124"/>
      <c r="E9" s="124"/>
      <c r="F9" s="147"/>
      <c r="G9" s="52"/>
      <c r="H9" s="52"/>
      <c r="I9" s="52"/>
      <c r="J9" s="52"/>
      <c r="K9" s="72"/>
    </row>
    <row r="10" spans="1:11" ht="15.75" customHeight="1">
      <c r="A10" s="73"/>
      <c r="B10" s="167" t="s">
        <v>104</v>
      </c>
      <c r="C10" s="167"/>
      <c r="D10" s="167"/>
      <c r="E10" s="167"/>
      <c r="F10" s="167"/>
      <c r="G10" s="15"/>
      <c r="H10" s="15"/>
      <c r="I10" s="74">
        <v>473512.11</v>
      </c>
      <c r="J10" s="56"/>
      <c r="K10" s="53">
        <f>I10+J10</f>
        <v>473512.11</v>
      </c>
    </row>
    <row r="11" spans="1:11" ht="15.75" customHeight="1">
      <c r="A11" s="73"/>
      <c r="B11" s="167" t="s">
        <v>105</v>
      </c>
      <c r="C11" s="167"/>
      <c r="D11" s="167"/>
      <c r="E11" s="167"/>
      <c r="F11" s="167"/>
      <c r="G11" s="15"/>
      <c r="H11" s="15"/>
      <c r="I11" s="16">
        <v>19520.41</v>
      </c>
      <c r="J11" s="56"/>
      <c r="K11" s="53">
        <f>I11+J11</f>
        <v>19520.41</v>
      </c>
    </row>
    <row r="12" spans="1:11" ht="15.75" customHeight="1">
      <c r="A12" s="23"/>
      <c r="B12" s="167" t="s">
        <v>106</v>
      </c>
      <c r="C12" s="167"/>
      <c r="D12" s="167"/>
      <c r="E12" s="167"/>
      <c r="F12" s="167"/>
      <c r="G12" s="15"/>
      <c r="H12" s="15"/>
      <c r="I12" s="74"/>
      <c r="J12" s="56">
        <v>4000</v>
      </c>
      <c r="K12" s="53">
        <f>I12+J12</f>
        <v>4000</v>
      </c>
    </row>
    <row r="13" spans="1:11" ht="15.75" customHeight="1">
      <c r="A13" s="23"/>
      <c r="B13" s="167" t="s">
        <v>191</v>
      </c>
      <c r="C13" s="167"/>
      <c r="D13" s="167"/>
      <c r="E13" s="167"/>
      <c r="F13" s="167"/>
      <c r="G13" s="15"/>
      <c r="H13" s="15"/>
      <c r="I13" s="74">
        <v>0</v>
      </c>
      <c r="J13" s="76">
        <v>0</v>
      </c>
      <c r="K13" s="53">
        <f>I13+J13</f>
        <v>0</v>
      </c>
    </row>
    <row r="14" spans="1:11" ht="15.75" customHeight="1">
      <c r="A14" s="23"/>
      <c r="B14" s="140" t="s">
        <v>108</v>
      </c>
      <c r="C14" s="140"/>
      <c r="D14" s="140"/>
      <c r="E14" s="140"/>
      <c r="F14" s="140"/>
      <c r="G14" s="15"/>
      <c r="H14" s="15"/>
      <c r="I14" s="77">
        <f>SUM(I10:I12)</f>
        <v>493032.51999999996</v>
      </c>
      <c r="J14" s="78">
        <f>SUM(J10:J12)</f>
        <v>4000</v>
      </c>
      <c r="K14" s="97">
        <f>SUM(K10:K13)</f>
        <v>497032.51999999996</v>
      </c>
    </row>
    <row r="15" spans="1:11" ht="18.75" customHeight="1">
      <c r="A15" s="23">
        <v>2</v>
      </c>
      <c r="B15" s="211" t="s">
        <v>65</v>
      </c>
      <c r="C15" s="211"/>
      <c r="D15" s="211"/>
      <c r="E15" s="211"/>
      <c r="F15" s="211"/>
      <c r="G15" s="15"/>
      <c r="H15" s="15"/>
      <c r="I15" s="74"/>
      <c r="J15" s="56"/>
      <c r="K15" s="35"/>
    </row>
    <row r="16" spans="1:11" ht="15.75">
      <c r="A16" s="23" t="s">
        <v>109</v>
      </c>
      <c r="B16" s="212" t="s">
        <v>66</v>
      </c>
      <c r="C16" s="212"/>
      <c r="D16" s="212"/>
      <c r="E16" s="212"/>
      <c r="F16" s="93"/>
      <c r="G16" s="210"/>
      <c r="H16" s="210"/>
      <c r="I16" s="210"/>
      <c r="J16" s="69"/>
      <c r="K16" s="72"/>
    </row>
    <row r="17" spans="1:11" ht="15.75" customHeight="1">
      <c r="A17" s="26"/>
      <c r="B17" s="166" t="s">
        <v>192</v>
      </c>
      <c r="C17" s="166"/>
      <c r="D17" s="166"/>
      <c r="E17" s="213" t="s">
        <v>32</v>
      </c>
      <c r="F17" s="61" t="s">
        <v>24</v>
      </c>
      <c r="G17" s="62">
        <v>1.22</v>
      </c>
      <c r="H17" s="62">
        <v>1.29</v>
      </c>
      <c r="I17" s="80">
        <f>ROUND($E$3*G17*6,2)+ROUND($E$3*H17*($L$7-6),2)</f>
        <v>41963.619999999995</v>
      </c>
      <c r="J17" s="81"/>
      <c r="K17" s="82">
        <f>SUM(I17:J17)</f>
        <v>41963.619999999995</v>
      </c>
    </row>
    <row r="18" spans="1:11" ht="36" customHeight="1">
      <c r="A18" s="23"/>
      <c r="B18" s="163" t="s">
        <v>17</v>
      </c>
      <c r="C18" s="163"/>
      <c r="D18" s="163"/>
      <c r="E18" s="213" t="s">
        <v>32</v>
      </c>
      <c r="F18" s="61" t="s">
        <v>19</v>
      </c>
      <c r="G18" s="62">
        <v>0.28</v>
      </c>
      <c r="H18" s="62">
        <v>0.3</v>
      </c>
      <c r="I18" s="80">
        <f>ROUND($E$3*G18*6,2)+ROUND($E$3*H18*($L$7-6),2)</f>
        <v>9675.26</v>
      </c>
      <c r="J18" s="81"/>
      <c r="K18" s="82">
        <f aca="true" t="shared" si="0" ref="K18:K37">SUM(I18:J18)</f>
        <v>9675.26</v>
      </c>
    </row>
    <row r="19" spans="1:11" ht="20.25" customHeight="1">
      <c r="A19" s="23"/>
      <c r="B19" s="165" t="s">
        <v>23</v>
      </c>
      <c r="C19" s="165"/>
      <c r="D19" s="165"/>
      <c r="E19" s="110" t="s">
        <v>110</v>
      </c>
      <c r="F19" s="64" t="s">
        <v>20</v>
      </c>
      <c r="G19" s="62">
        <v>0.99</v>
      </c>
      <c r="H19" s="62">
        <v>1.05</v>
      </c>
      <c r="I19" s="80">
        <f>K19-J19</f>
        <v>36688.41</v>
      </c>
      <c r="J19" s="81"/>
      <c r="K19" s="84">
        <v>36688.41</v>
      </c>
    </row>
    <row r="20" spans="1:11" ht="20.25" customHeight="1">
      <c r="A20" s="26"/>
      <c r="B20" s="166" t="s">
        <v>31</v>
      </c>
      <c r="C20" s="166"/>
      <c r="D20" s="166"/>
      <c r="E20" s="214" t="s">
        <v>9</v>
      </c>
      <c r="F20" s="65" t="s">
        <v>10</v>
      </c>
      <c r="G20" s="62">
        <v>0.51</v>
      </c>
      <c r="H20" s="62">
        <v>0.54</v>
      </c>
      <c r="I20" s="80">
        <f>ROUND($E$3*G20*6,2)+ROUND($E$3*H20*($L$7-6),2)</f>
        <v>17550.47</v>
      </c>
      <c r="J20" s="81"/>
      <c r="K20" s="82">
        <f t="shared" si="0"/>
        <v>17550.47</v>
      </c>
    </row>
    <row r="21" spans="1:11" ht="55.5" customHeight="1">
      <c r="A21" s="23"/>
      <c r="B21" s="165" t="s">
        <v>27</v>
      </c>
      <c r="C21" s="165"/>
      <c r="D21" s="165"/>
      <c r="E21" s="110" t="s">
        <v>111</v>
      </c>
      <c r="F21" s="64" t="s">
        <v>25</v>
      </c>
      <c r="G21" s="62">
        <v>0.12</v>
      </c>
      <c r="H21" s="62">
        <v>0.13</v>
      </c>
      <c r="I21" s="80">
        <f>K21-J21</f>
        <v>2275.6</v>
      </c>
      <c r="J21" s="81"/>
      <c r="K21" s="84">
        <v>2275.6</v>
      </c>
    </row>
    <row r="22" spans="1:11" ht="20.25" customHeight="1">
      <c r="A22" s="26"/>
      <c r="B22" s="165" t="s">
        <v>11</v>
      </c>
      <c r="C22" s="165"/>
      <c r="D22" s="165"/>
      <c r="E22" s="110" t="s">
        <v>9</v>
      </c>
      <c r="F22" s="64" t="s">
        <v>12</v>
      </c>
      <c r="G22" s="62">
        <v>2.22</v>
      </c>
      <c r="H22" s="62">
        <v>2.35</v>
      </c>
      <c r="I22" s="80">
        <f>ROUND($E$3*G22*6,2)+ROUND($E$3*H22*($L$7-6),2)</f>
        <v>76389.54000000001</v>
      </c>
      <c r="J22" s="81"/>
      <c r="K22" s="82">
        <f t="shared" si="0"/>
        <v>76389.54000000001</v>
      </c>
    </row>
    <row r="23" spans="1:11" ht="31.5" customHeight="1">
      <c r="A23" s="26"/>
      <c r="B23" s="165" t="s">
        <v>26</v>
      </c>
      <c r="C23" s="159"/>
      <c r="D23" s="159"/>
      <c r="E23" s="215" t="s">
        <v>13</v>
      </c>
      <c r="F23" s="58" t="s">
        <v>14</v>
      </c>
      <c r="G23" s="62">
        <v>0.05</v>
      </c>
      <c r="H23" s="62">
        <v>0.05</v>
      </c>
      <c r="I23" s="80">
        <f>K23-J23</f>
        <v>3364.5</v>
      </c>
      <c r="J23" s="81"/>
      <c r="K23" s="84">
        <v>3364.5</v>
      </c>
    </row>
    <row r="24" spans="1:11" ht="56.25" customHeight="1">
      <c r="A24" s="23"/>
      <c r="B24" s="165" t="s">
        <v>71</v>
      </c>
      <c r="C24" s="165"/>
      <c r="D24" s="165"/>
      <c r="E24" s="213" t="s">
        <v>193</v>
      </c>
      <c r="F24" s="46" t="s">
        <v>82</v>
      </c>
      <c r="G24" s="62">
        <v>2.15</v>
      </c>
      <c r="H24" s="62">
        <v>2.28</v>
      </c>
      <c r="I24" s="80">
        <f>ROUND($E$3*G24*6,2)+ROUND($E$3*H24*($L$7-6),2)</f>
        <v>74026.97</v>
      </c>
      <c r="J24" s="81"/>
      <c r="K24" s="82">
        <f t="shared" si="0"/>
        <v>74026.97</v>
      </c>
    </row>
    <row r="25" spans="1:11" ht="52.5" customHeight="1">
      <c r="A25" s="23"/>
      <c r="B25" s="163" t="s">
        <v>15</v>
      </c>
      <c r="C25" s="163"/>
      <c r="D25" s="163"/>
      <c r="E25" s="213" t="s">
        <v>94</v>
      </c>
      <c r="F25" s="46" t="s">
        <v>82</v>
      </c>
      <c r="G25" s="62">
        <v>0.53</v>
      </c>
      <c r="H25" s="62">
        <v>0.56</v>
      </c>
      <c r="I25" s="80">
        <f>K25-J25</f>
        <v>9017.97</v>
      </c>
      <c r="J25" s="81"/>
      <c r="K25" s="82">
        <v>9017.97</v>
      </c>
    </row>
    <row r="26" spans="1:11" ht="30" customHeight="1">
      <c r="A26" s="23"/>
      <c r="B26" s="164" t="s">
        <v>36</v>
      </c>
      <c r="C26" s="149"/>
      <c r="D26" s="150"/>
      <c r="E26" s="213" t="s">
        <v>35</v>
      </c>
      <c r="F26" s="46" t="s">
        <v>82</v>
      </c>
      <c r="G26" s="48">
        <f>3.52-G27-G28</f>
        <v>3.23</v>
      </c>
      <c r="H26" s="62">
        <f>3.73-H27-H28</f>
        <v>3.42</v>
      </c>
      <c r="I26" s="80">
        <f>ROUND($E$3*G26*6,2)+ROUND($E$3*H26*($L$7-6),2)</f>
        <v>111152.97</v>
      </c>
      <c r="J26" s="88"/>
      <c r="K26" s="82">
        <f t="shared" si="0"/>
        <v>111152.97</v>
      </c>
    </row>
    <row r="27" spans="1:11" ht="26.25" customHeight="1">
      <c r="A27" s="26"/>
      <c r="B27" s="165" t="s">
        <v>112</v>
      </c>
      <c r="C27" s="165"/>
      <c r="D27" s="165"/>
      <c r="E27" s="110" t="s">
        <v>9</v>
      </c>
      <c r="F27" s="46" t="s">
        <v>82</v>
      </c>
      <c r="G27" s="48">
        <v>0.29</v>
      </c>
      <c r="H27" s="62">
        <v>0.31</v>
      </c>
      <c r="I27" s="216">
        <f>ROUND($E$3*G27*6,2)+ROUND($E$3*H27*($L$7-6),2)</f>
        <v>10012.76</v>
      </c>
      <c r="J27" s="88"/>
      <c r="K27" s="82">
        <f t="shared" si="0"/>
        <v>10012.76</v>
      </c>
    </row>
    <row r="28" spans="1:11" ht="28.5" customHeight="1">
      <c r="A28" s="23"/>
      <c r="B28" s="165" t="s">
        <v>113</v>
      </c>
      <c r="C28" s="165"/>
      <c r="D28" s="165"/>
      <c r="E28" s="110" t="s">
        <v>9</v>
      </c>
      <c r="F28" s="46" t="s">
        <v>82</v>
      </c>
      <c r="G28" s="48">
        <v>0</v>
      </c>
      <c r="H28" s="62">
        <v>0</v>
      </c>
      <c r="I28" s="216">
        <f>ROUND($E$3*G28*6,2)+ROUND($E$3*H28*($L$7-6),2)</f>
        <v>0</v>
      </c>
      <c r="J28" s="88"/>
      <c r="K28" s="82">
        <f t="shared" si="0"/>
        <v>0</v>
      </c>
    </row>
    <row r="29" spans="1:11" ht="27" customHeight="1">
      <c r="A29" s="23"/>
      <c r="B29" s="159" t="s">
        <v>21</v>
      </c>
      <c r="C29" s="159"/>
      <c r="D29" s="159"/>
      <c r="E29" s="213" t="s">
        <v>35</v>
      </c>
      <c r="F29" s="46" t="s">
        <v>82</v>
      </c>
      <c r="G29" s="58">
        <v>1.45</v>
      </c>
      <c r="H29" s="62">
        <v>1.54</v>
      </c>
      <c r="I29" s="80">
        <f>ROUND($E$3*G29*6,2)+ROUND($E$3*H29*($L$7-6),2)</f>
        <v>49951.33</v>
      </c>
      <c r="J29" s="81"/>
      <c r="K29" s="82">
        <f t="shared" si="0"/>
        <v>49951.33</v>
      </c>
    </row>
    <row r="30" spans="1:11" ht="15.75">
      <c r="A30" s="23"/>
      <c r="B30" s="148"/>
      <c r="C30" s="149"/>
      <c r="D30" s="150"/>
      <c r="E30" s="83"/>
      <c r="F30" s="46"/>
      <c r="G30" s="58"/>
      <c r="H30" s="58"/>
      <c r="I30" s="87"/>
      <c r="J30" s="76"/>
      <c r="K30" s="89"/>
    </row>
    <row r="31" spans="1:11" ht="15.75">
      <c r="A31" s="23"/>
      <c r="B31" s="196" t="s">
        <v>30</v>
      </c>
      <c r="C31" s="196"/>
      <c r="D31" s="196"/>
      <c r="E31" s="23"/>
      <c r="F31" s="46"/>
      <c r="G31" s="24">
        <f>SUM(G17:G29)</f>
        <v>13.039999999999997</v>
      </c>
      <c r="H31" s="24">
        <f>SUM(H17:H29)</f>
        <v>13.82</v>
      </c>
      <c r="I31" s="97">
        <f>SUM(I17:I30)</f>
        <v>442069.4000000001</v>
      </c>
      <c r="J31" s="78"/>
      <c r="K31" s="97">
        <f>SUM(K17:K30)</f>
        <v>442069.4000000001</v>
      </c>
    </row>
    <row r="32" spans="1:11" ht="15.75" hidden="1">
      <c r="A32" s="23"/>
      <c r="B32" s="160" t="s">
        <v>114</v>
      </c>
      <c r="C32" s="161"/>
      <c r="D32" s="162"/>
      <c r="E32" s="83" t="s">
        <v>9</v>
      </c>
      <c r="F32" s="46"/>
      <c r="G32" s="58"/>
      <c r="H32" s="58"/>
      <c r="I32" s="87"/>
      <c r="J32" s="76"/>
      <c r="K32" s="89"/>
    </row>
    <row r="33" spans="1:11" ht="25.5" hidden="1">
      <c r="A33" s="23"/>
      <c r="B33" s="160" t="s">
        <v>115</v>
      </c>
      <c r="C33" s="161"/>
      <c r="D33" s="162"/>
      <c r="E33" s="79" t="s">
        <v>35</v>
      </c>
      <c r="F33" s="46"/>
      <c r="G33" s="58"/>
      <c r="H33" s="58"/>
      <c r="I33" s="87"/>
      <c r="J33" s="76"/>
      <c r="K33" s="89"/>
    </row>
    <row r="34" spans="1:11" ht="15.75" hidden="1">
      <c r="A34" s="23"/>
      <c r="B34" s="148"/>
      <c r="C34" s="149"/>
      <c r="D34" s="150"/>
      <c r="E34" s="83"/>
      <c r="F34" s="46"/>
      <c r="G34" s="58"/>
      <c r="H34" s="58"/>
      <c r="I34" s="87"/>
      <c r="J34" s="76"/>
      <c r="K34" s="89"/>
    </row>
    <row r="35" spans="1:11" ht="38.25" customHeight="1">
      <c r="A35" s="23" t="s">
        <v>116</v>
      </c>
      <c r="B35" s="151" t="s">
        <v>117</v>
      </c>
      <c r="C35" s="152"/>
      <c r="D35" s="152"/>
      <c r="E35" s="153"/>
      <c r="F35" s="46" t="s">
        <v>82</v>
      </c>
      <c r="G35" s="24">
        <f>I35/E3/6</f>
        <v>0</v>
      </c>
      <c r="H35" s="24">
        <v>0</v>
      </c>
      <c r="I35" s="217">
        <v>0</v>
      </c>
      <c r="J35" s="91"/>
      <c r="K35" s="97">
        <f t="shared" si="0"/>
        <v>0</v>
      </c>
    </row>
    <row r="36" spans="1:11" ht="15" customHeight="1">
      <c r="A36" s="25"/>
      <c r="B36" s="155" t="s">
        <v>69</v>
      </c>
      <c r="C36" s="155"/>
      <c r="D36" s="155"/>
      <c r="E36" s="155"/>
      <c r="F36" s="155"/>
      <c r="G36" s="24">
        <f>SUM(G31:G35)</f>
        <v>13.039999999999997</v>
      </c>
      <c r="H36" s="24">
        <f>SUM(H31:H35)</f>
        <v>13.82</v>
      </c>
      <c r="I36" s="218">
        <f>SUM(I31:I35)</f>
        <v>442069.4000000001</v>
      </c>
      <c r="J36" s="219"/>
      <c r="K36" s="219">
        <f>SUM(K31:K35)</f>
        <v>442069.4000000001</v>
      </c>
    </row>
    <row r="37" spans="1:11" ht="14.25" customHeight="1">
      <c r="A37" s="23" t="s">
        <v>118</v>
      </c>
      <c r="B37" s="155" t="s">
        <v>119</v>
      </c>
      <c r="C37" s="155"/>
      <c r="D37" s="155"/>
      <c r="E37" s="155"/>
      <c r="F37" s="155"/>
      <c r="G37" s="24"/>
      <c r="H37" s="24"/>
      <c r="I37" s="94">
        <v>0</v>
      </c>
      <c r="J37" s="94"/>
      <c r="K37" s="220">
        <f t="shared" si="0"/>
        <v>0</v>
      </c>
    </row>
    <row r="38" spans="1:11" ht="18.75">
      <c r="A38" s="25"/>
      <c r="B38" s="155" t="s">
        <v>120</v>
      </c>
      <c r="C38" s="155"/>
      <c r="D38" s="155"/>
      <c r="E38" s="155"/>
      <c r="F38" s="155"/>
      <c r="G38" s="24">
        <f>SUM(G36:G37)</f>
        <v>13.039999999999997</v>
      </c>
      <c r="H38" s="24">
        <f>SUM(H36:H37)</f>
        <v>13.82</v>
      </c>
      <c r="I38" s="218">
        <f>SUM(I36:I37)</f>
        <v>442069.4000000001</v>
      </c>
      <c r="J38" s="219"/>
      <c r="K38" s="219">
        <f>SUM(K36:K37)</f>
        <v>442069.4000000001</v>
      </c>
    </row>
    <row r="39" spans="1:11" ht="15" customHeight="1">
      <c r="A39" s="23">
        <v>3</v>
      </c>
      <c r="B39" s="221" t="s">
        <v>194</v>
      </c>
      <c r="C39" s="157"/>
      <c r="D39" s="157"/>
      <c r="E39" s="157"/>
      <c r="F39" s="157"/>
      <c r="G39" s="158"/>
      <c r="H39" s="125"/>
      <c r="I39" s="80">
        <f>I14-I38</f>
        <v>50963.11999999988</v>
      </c>
      <c r="J39" s="80"/>
      <c r="K39" s="78">
        <f>K14-K38</f>
        <v>54963.11999999988</v>
      </c>
    </row>
    <row r="40" spans="2:6" ht="15.75" customHeight="1">
      <c r="B40" s="34"/>
      <c r="F40" s="34"/>
    </row>
    <row r="41" spans="2:11" ht="15.75" customHeight="1">
      <c r="B41" s="222" t="s">
        <v>195</v>
      </c>
      <c r="C41" s="222"/>
      <c r="D41" s="222"/>
      <c r="E41" s="222"/>
      <c r="F41" s="222"/>
      <c r="G41" s="222"/>
      <c r="H41" s="222"/>
      <c r="I41" s="222"/>
      <c r="J41" s="222"/>
      <c r="K41" s="222"/>
    </row>
    <row r="42" spans="2:4" ht="15.75">
      <c r="B42" s="34"/>
      <c r="C42" s="34"/>
      <c r="D42" s="34"/>
    </row>
    <row r="43" spans="2:4" ht="15.75">
      <c r="B43" s="128" t="s">
        <v>79</v>
      </c>
      <c r="C43" s="128"/>
      <c r="D43" s="128"/>
    </row>
    <row r="44" spans="2:9" ht="15.75">
      <c r="B44" s="34" t="s">
        <v>196</v>
      </c>
      <c r="C44" s="34"/>
      <c r="D44" s="34"/>
      <c r="E44" s="34"/>
      <c r="F44" s="34"/>
      <c r="G44" s="34"/>
      <c r="H44" s="34"/>
      <c r="I44" s="34"/>
    </row>
    <row r="45" spans="2:4" ht="15.75" customHeight="1">
      <c r="B45" s="130" t="s">
        <v>88</v>
      </c>
      <c r="C45" s="130"/>
      <c r="D45" s="130"/>
    </row>
    <row r="47" ht="15.75">
      <c r="B47" t="s">
        <v>197</v>
      </c>
    </row>
  </sheetData>
  <mergeCells count="37">
    <mergeCell ref="B38:F38"/>
    <mergeCell ref="B39:G39"/>
    <mergeCell ref="B41:K41"/>
    <mergeCell ref="B45:D45"/>
    <mergeCell ref="B12:F12"/>
    <mergeCell ref="B17:D17"/>
    <mergeCell ref="B35:E35"/>
    <mergeCell ref="B37:F37"/>
    <mergeCell ref="B8:F8"/>
    <mergeCell ref="B9:F9"/>
    <mergeCell ref="B10:F10"/>
    <mergeCell ref="B11:F11"/>
    <mergeCell ref="A1:K1"/>
    <mergeCell ref="A2:K2"/>
    <mergeCell ref="B7:D7"/>
    <mergeCell ref="I7:K7"/>
    <mergeCell ref="B34:D34"/>
    <mergeCell ref="B36:F36"/>
    <mergeCell ref="B30:D30"/>
    <mergeCell ref="B31:D31"/>
    <mergeCell ref="B33:D33"/>
    <mergeCell ref="B26:D26"/>
    <mergeCell ref="B27:D27"/>
    <mergeCell ref="B28:D28"/>
    <mergeCell ref="B29:D29"/>
    <mergeCell ref="B23:D23"/>
    <mergeCell ref="B24:D24"/>
    <mergeCell ref="B25:D25"/>
    <mergeCell ref="B32:D32"/>
    <mergeCell ref="B19:D19"/>
    <mergeCell ref="B20:D20"/>
    <mergeCell ref="B21:D21"/>
    <mergeCell ref="B22:D22"/>
    <mergeCell ref="B13:F13"/>
    <mergeCell ref="B14:F14"/>
    <mergeCell ref="B15:F15"/>
    <mergeCell ref="B18:D18"/>
  </mergeCells>
  <printOptions horizontalCentered="1"/>
  <pageMargins left="0.5511811023622047" right="0.1968503937007874" top="0" bottom="0" header="0.5118110236220472" footer="0.5118110236220472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R8" sqref="R8:S9"/>
    </sheetView>
  </sheetViews>
  <sheetFormatPr defaultColWidth="9.00390625" defaultRowHeight="15.75"/>
  <cols>
    <col min="1" max="1" width="11.875" style="0" customWidth="1"/>
    <col min="2" max="2" width="6.125" style="0" customWidth="1"/>
    <col min="3" max="3" width="13.125" style="0" customWidth="1"/>
    <col min="4" max="4" width="10.50390625" style="0" customWidth="1"/>
    <col min="5" max="5" width="12.75390625" style="0" customWidth="1"/>
    <col min="6" max="6" width="13.00390625" style="0" customWidth="1"/>
    <col min="7" max="7" width="10.375" style="0" customWidth="1"/>
    <col min="8" max="8" width="12.625" style="0" customWidth="1"/>
    <col min="9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8" width="14.125" style="0" customWidth="1"/>
    <col min="19" max="19" width="11.875" style="0" customWidth="1"/>
  </cols>
  <sheetData>
    <row r="1" spans="1:19" ht="104.25" customHeight="1">
      <c r="A1" s="201" t="s">
        <v>160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5.75" customHeight="1">
      <c r="A2" s="182" t="s">
        <v>122</v>
      </c>
      <c r="B2" s="196" t="s">
        <v>123</v>
      </c>
      <c r="C2" s="196" t="s">
        <v>124</v>
      </c>
      <c r="D2" s="196"/>
      <c r="E2" s="196"/>
      <c r="F2" s="196"/>
      <c r="G2" s="196"/>
      <c r="H2" s="196"/>
      <c r="I2" s="196"/>
      <c r="J2" s="202" t="s">
        <v>125</v>
      </c>
      <c r="K2" s="202"/>
      <c r="L2" s="202"/>
      <c r="M2" s="203" t="s">
        <v>126</v>
      </c>
      <c r="N2" s="196" t="s">
        <v>127</v>
      </c>
      <c r="O2" s="196"/>
      <c r="P2" s="196"/>
      <c r="Q2" s="196"/>
      <c r="R2" s="196"/>
      <c r="S2" s="147" t="s">
        <v>163</v>
      </c>
    </row>
    <row r="3" spans="1:19" ht="15.75">
      <c r="A3" s="196"/>
      <c r="B3" s="196"/>
      <c r="C3" s="169" t="s">
        <v>128</v>
      </c>
      <c r="D3" s="170"/>
      <c r="E3" s="171"/>
      <c r="F3" s="169" t="s">
        <v>129</v>
      </c>
      <c r="G3" s="170"/>
      <c r="H3" s="171"/>
      <c r="I3" s="182" t="s">
        <v>130</v>
      </c>
      <c r="J3" s="197" t="s">
        <v>131</v>
      </c>
      <c r="K3" s="199" t="s">
        <v>132</v>
      </c>
      <c r="L3" s="197" t="s">
        <v>133</v>
      </c>
      <c r="M3" s="204"/>
      <c r="N3" s="182" t="s">
        <v>134</v>
      </c>
      <c r="O3" s="196" t="s">
        <v>135</v>
      </c>
      <c r="P3" s="196" t="s">
        <v>136</v>
      </c>
      <c r="Q3" s="196" t="s">
        <v>137</v>
      </c>
      <c r="R3" s="196" t="s">
        <v>138</v>
      </c>
      <c r="S3" s="147"/>
    </row>
    <row r="4" spans="1:19" ht="47.25" customHeight="1">
      <c r="A4" s="196"/>
      <c r="B4" s="196"/>
      <c r="C4" s="11" t="s">
        <v>139</v>
      </c>
      <c r="D4" s="23" t="s">
        <v>137</v>
      </c>
      <c r="E4" s="23" t="s">
        <v>138</v>
      </c>
      <c r="F4" s="11" t="s">
        <v>139</v>
      </c>
      <c r="G4" s="23" t="s">
        <v>137</v>
      </c>
      <c r="H4" s="23" t="s">
        <v>138</v>
      </c>
      <c r="I4" s="182"/>
      <c r="J4" s="198"/>
      <c r="K4" s="200"/>
      <c r="L4" s="198"/>
      <c r="M4" s="205"/>
      <c r="N4" s="196"/>
      <c r="O4" s="196"/>
      <c r="P4" s="196"/>
      <c r="Q4" s="196"/>
      <c r="R4" s="196"/>
      <c r="S4" s="147"/>
    </row>
    <row r="5" spans="1:19" ht="31.5">
      <c r="A5" s="23">
        <v>1</v>
      </c>
      <c r="B5" s="23">
        <v>2</v>
      </c>
      <c r="C5" s="11">
        <v>3</v>
      </c>
      <c r="D5" s="23">
        <v>4</v>
      </c>
      <c r="E5" s="23" t="s">
        <v>140</v>
      </c>
      <c r="F5" s="11">
        <v>6</v>
      </c>
      <c r="G5" s="23">
        <v>7</v>
      </c>
      <c r="H5" s="23" t="s">
        <v>141</v>
      </c>
      <c r="I5" s="11" t="s">
        <v>142</v>
      </c>
      <c r="J5" s="23">
        <v>10</v>
      </c>
      <c r="K5" s="23">
        <v>11</v>
      </c>
      <c r="L5" s="11">
        <v>12</v>
      </c>
      <c r="M5" s="11" t="s">
        <v>143</v>
      </c>
      <c r="N5" s="23">
        <v>14</v>
      </c>
      <c r="O5" s="11">
        <v>15</v>
      </c>
      <c r="P5" s="23">
        <v>16</v>
      </c>
      <c r="Q5" s="23">
        <v>17</v>
      </c>
      <c r="R5" s="11" t="s">
        <v>144</v>
      </c>
      <c r="S5" s="98" t="s">
        <v>145</v>
      </c>
    </row>
    <row r="6" spans="1:19" ht="15.75">
      <c r="A6" s="75"/>
      <c r="B6" s="51" t="s">
        <v>146</v>
      </c>
      <c r="C6" s="75" t="e">
        <f>#REF!</f>
        <v>#REF!</v>
      </c>
      <c r="D6" s="75" t="e">
        <f>#REF!</f>
        <v>#REF!</v>
      </c>
      <c r="E6" s="75" t="e">
        <f>SUM(C6:D6)</f>
        <v>#REF!</v>
      </c>
      <c r="F6" s="75" t="e">
        <f>#REF!</f>
        <v>#REF!</v>
      </c>
      <c r="G6" s="75" t="e">
        <f>#REF!</f>
        <v>#REF!</v>
      </c>
      <c r="H6" s="75" t="e">
        <f>SUM(F6:G6)</f>
        <v>#REF!</v>
      </c>
      <c r="I6" s="53" t="e">
        <f>E6-H6</f>
        <v>#REF!</v>
      </c>
      <c r="J6" s="75">
        <v>0</v>
      </c>
      <c r="K6" s="75">
        <v>0</v>
      </c>
      <c r="L6" s="75">
        <v>0</v>
      </c>
      <c r="M6" s="75" t="e">
        <f>H6+J6+K6+L6</f>
        <v>#REF!</v>
      </c>
      <c r="N6" s="75" t="e">
        <f>#REF!</f>
        <v>#REF!</v>
      </c>
      <c r="O6" s="75" t="e">
        <f>#REF!</f>
        <v>#REF!</v>
      </c>
      <c r="P6" s="75" t="e">
        <f>#REF!</f>
        <v>#REF!</v>
      </c>
      <c r="Q6" s="53">
        <v>0</v>
      </c>
      <c r="R6" s="75" t="e">
        <f>SUM(N6:Q6)</f>
        <v>#REF!</v>
      </c>
      <c r="S6" s="75" t="e">
        <f>M6-R6</f>
        <v>#REF!</v>
      </c>
    </row>
    <row r="7" spans="1:19" ht="15.75">
      <c r="A7" s="75" t="e">
        <f>S6</f>
        <v>#REF!</v>
      </c>
      <c r="B7" s="51" t="s">
        <v>147</v>
      </c>
      <c r="C7" s="75">
        <f>'отчет 2009'!H10</f>
        <v>557714.8</v>
      </c>
      <c r="D7" s="75">
        <v>20426.59</v>
      </c>
      <c r="E7" s="75">
        <f>SUM(C7:D7)</f>
        <v>578141.39</v>
      </c>
      <c r="F7" s="75">
        <f>'отчет 2009'!H13</f>
        <v>524428.83</v>
      </c>
      <c r="G7" s="75">
        <v>19277.71</v>
      </c>
      <c r="H7" s="75">
        <f>SUM(F7:G7)</f>
        <v>543706.5399999999</v>
      </c>
      <c r="I7" s="53">
        <f>E7-H7</f>
        <v>34434.85000000009</v>
      </c>
      <c r="J7" s="75">
        <v>0</v>
      </c>
      <c r="K7" s="75">
        <v>0</v>
      </c>
      <c r="L7" s="75">
        <v>0</v>
      </c>
      <c r="M7" s="75">
        <f>H7+J7+K7+L7</f>
        <v>543706.5399999999</v>
      </c>
      <c r="N7" s="75">
        <f>'отчет 2009'!H31</f>
        <v>56111.83</v>
      </c>
      <c r="O7" s="75">
        <f>'отчет 2009'!H32-'отчет 2009'!H31</f>
        <v>447113.32</v>
      </c>
      <c r="P7" s="75">
        <f>'отчет 2009'!H33</f>
        <v>427600</v>
      </c>
      <c r="Q7" s="53">
        <v>0</v>
      </c>
      <c r="R7" s="75">
        <f>SUM(N7:Q7)</f>
        <v>930825.15</v>
      </c>
      <c r="S7" s="75">
        <f>M7-R7</f>
        <v>-387118.6100000001</v>
      </c>
    </row>
    <row r="8" spans="1:19" ht="15.75">
      <c r="A8" s="75" t="e">
        <f>A7+S7</f>
        <v>#REF!</v>
      </c>
      <c r="B8" s="51" t="s">
        <v>148</v>
      </c>
      <c r="C8" s="75">
        <v>564413.36</v>
      </c>
      <c r="D8" s="75">
        <v>21643.9</v>
      </c>
      <c r="E8" s="75">
        <f>SUM(C8:D8)</f>
        <v>586057.26</v>
      </c>
      <c r="F8" s="75">
        <f>'отчет 2010'!H10</f>
        <v>580918.08</v>
      </c>
      <c r="G8" s="75">
        <f>'отчет 2010'!H11</f>
        <v>21795.2</v>
      </c>
      <c r="H8" s="75">
        <f>SUM(F8:G8)</f>
        <v>602713.2799999999</v>
      </c>
      <c r="I8" s="53">
        <f>E8-H8</f>
        <v>-16656.019999999902</v>
      </c>
      <c r="J8" s="75">
        <f>'отчет 2010'!I12</f>
        <v>4994.6</v>
      </c>
      <c r="K8" s="75">
        <v>0</v>
      </c>
      <c r="L8" s="75">
        <v>0</v>
      </c>
      <c r="M8" s="75">
        <f>H8+J8+K8+L8</f>
        <v>607707.8799999999</v>
      </c>
      <c r="N8" s="75">
        <f>'отчет 2010'!J29</f>
        <v>56611.29</v>
      </c>
      <c r="O8" s="75">
        <f>'отчет 2010'!J34-'отчет 2010'!J29</f>
        <v>502642.9200000001</v>
      </c>
      <c r="P8" s="75">
        <f>'отчет 2010'!H35</f>
        <v>5200</v>
      </c>
      <c r="Q8" s="53">
        <v>0</v>
      </c>
      <c r="R8" s="75">
        <f>SUM(N8:Q8)</f>
        <v>564454.2100000001</v>
      </c>
      <c r="S8" s="75">
        <f>M8-R8</f>
        <v>43253.66999999981</v>
      </c>
    </row>
    <row r="9" spans="1:19" ht="15.75">
      <c r="A9" s="75" t="e">
        <f>A8+S8</f>
        <v>#REF!</v>
      </c>
      <c r="B9" s="51" t="s">
        <v>149</v>
      </c>
      <c r="C9" s="75">
        <v>640826.26</v>
      </c>
      <c r="D9" s="75">
        <v>25528.56</v>
      </c>
      <c r="E9" s="75">
        <f>SUM(C9:D9)</f>
        <v>666354.8200000001</v>
      </c>
      <c r="F9" s="75">
        <f>'отчет 2011'!H10</f>
        <v>606891.33</v>
      </c>
      <c r="G9" s="75">
        <f>'отчет 2011'!H11</f>
        <v>24731.05</v>
      </c>
      <c r="H9" s="75">
        <f>SUM(F9:G9)</f>
        <v>631622.38</v>
      </c>
      <c r="I9" s="53">
        <f>E9-H9</f>
        <v>34732.44000000006</v>
      </c>
      <c r="J9" s="75">
        <f>'отчет 2011'!I12</f>
        <v>6838.49</v>
      </c>
      <c r="K9" s="75">
        <v>0</v>
      </c>
      <c r="L9" s="75">
        <v>0</v>
      </c>
      <c r="M9" s="75">
        <f>H9+J9+K9+L9</f>
        <v>638460.87</v>
      </c>
      <c r="N9" s="75">
        <f>'отчет 2011'!J29</f>
        <v>65256.989</v>
      </c>
      <c r="O9" s="75">
        <f>'отчет 2011'!J32-'отчет 2011'!J29</f>
        <v>523950.8235</v>
      </c>
      <c r="P9" s="75">
        <f>'отчет 2011'!H37</f>
        <v>22326</v>
      </c>
      <c r="Q9" s="35">
        <f>'отчет 2011'!H39</f>
        <v>0</v>
      </c>
      <c r="R9" s="75">
        <f>SUM(N9:Q9)</f>
        <v>611533.8125</v>
      </c>
      <c r="S9" s="75">
        <f>M9-R9</f>
        <v>26927.057499999995</v>
      </c>
    </row>
    <row r="10" spans="1:19" ht="15.75">
      <c r="A10" s="75"/>
      <c r="B10" s="51" t="s">
        <v>150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35"/>
      <c r="Q10" s="35"/>
      <c r="R10" s="35"/>
      <c r="S10" s="35"/>
    </row>
    <row r="11" spans="1:19" ht="15.75">
      <c r="A11" s="75"/>
      <c r="B11" s="51" t="s">
        <v>151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35"/>
      <c r="Q11" s="35"/>
      <c r="R11" s="35"/>
      <c r="S11" s="35"/>
    </row>
    <row r="12" spans="1:19" ht="15.75">
      <c r="A12" s="35"/>
      <c r="B12" s="51" t="s">
        <v>162</v>
      </c>
      <c r="C12" s="32" t="e">
        <f>SUM(C6:C11)</f>
        <v>#REF!</v>
      </c>
      <c r="D12" s="32" t="e">
        <f aca="true" t="shared" si="0" ref="D12:S12">SUM(D6:D11)</f>
        <v>#REF!</v>
      </c>
      <c r="E12" s="32" t="e">
        <f t="shared" si="0"/>
        <v>#REF!</v>
      </c>
      <c r="F12" s="32" t="e">
        <f t="shared" si="0"/>
        <v>#REF!</v>
      </c>
      <c r="G12" s="32" t="e">
        <f t="shared" si="0"/>
        <v>#REF!</v>
      </c>
      <c r="H12" s="32" t="e">
        <f t="shared" si="0"/>
        <v>#REF!</v>
      </c>
      <c r="I12" s="32" t="e">
        <f t="shared" si="0"/>
        <v>#REF!</v>
      </c>
      <c r="J12" s="32">
        <f t="shared" si="0"/>
        <v>11833.09</v>
      </c>
      <c r="K12" s="32">
        <f t="shared" si="0"/>
        <v>0</v>
      </c>
      <c r="L12" s="32">
        <f t="shared" si="0"/>
        <v>0</v>
      </c>
      <c r="M12" s="32" t="e">
        <f t="shared" si="0"/>
        <v>#REF!</v>
      </c>
      <c r="N12" s="32" t="e">
        <f t="shared" si="0"/>
        <v>#REF!</v>
      </c>
      <c r="O12" s="32" t="e">
        <f t="shared" si="0"/>
        <v>#REF!</v>
      </c>
      <c r="P12" s="32" t="e">
        <f t="shared" si="0"/>
        <v>#REF!</v>
      </c>
      <c r="Q12" s="32">
        <f t="shared" si="0"/>
        <v>0</v>
      </c>
      <c r="R12" s="32" t="e">
        <f t="shared" si="0"/>
        <v>#REF!</v>
      </c>
      <c r="S12" s="32" t="e">
        <f t="shared" si="0"/>
        <v>#REF!</v>
      </c>
    </row>
  </sheetData>
  <sheetProtection/>
  <mergeCells count="19"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I3:I4"/>
    <mergeCell ref="J3:J4"/>
    <mergeCell ref="K3:K4"/>
    <mergeCell ref="L3:L4"/>
    <mergeCell ref="R3:R4"/>
    <mergeCell ref="N3:N4"/>
    <mergeCell ref="O3:O4"/>
    <mergeCell ref="P3:P4"/>
    <mergeCell ref="Q3:Q4"/>
  </mergeCells>
  <printOptions/>
  <pageMargins left="0" right="0" top="0" bottom="0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2013-04-19T10:28:48Z</cp:lastPrinted>
  <dcterms:created xsi:type="dcterms:W3CDTF">2009-08-26T03:25:10Z</dcterms:created>
  <dcterms:modified xsi:type="dcterms:W3CDTF">2013-04-19T10:29:12Z</dcterms:modified>
  <cp:category/>
  <cp:version/>
  <cp:contentType/>
  <cp:contentStatus/>
</cp:coreProperties>
</file>