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661" yWindow="65476" windowWidth="15480" windowHeight="11640" firstSheet="6" activeTab="6"/>
  </bookViews>
  <sheets>
    <sheet name="отчет 2009" sheetId="1" state="hidden" r:id="rId1"/>
    <sheet name="отчет 2010" sheetId="2" state="hidden" r:id="rId2"/>
    <sheet name="смета 2011" sheetId="3" state="hidden" r:id="rId3"/>
    <sheet name="отчет 2011" sheetId="4" state="hidden" r:id="rId4"/>
    <sheet name="смета 2012" sheetId="5" state="hidden" r:id="rId5"/>
    <sheet name="07.12" sheetId="6" state="hidden" r:id="rId6"/>
    <sheet name="отчет12(01-08)" sheetId="7" r:id="rId7"/>
  </sheets>
  <definedNames/>
  <calcPr fullCalcOnLoad="1"/>
</workbook>
</file>

<file path=xl/sharedStrings.xml><?xml version="1.0" encoding="utf-8"?>
<sst xmlns="http://schemas.openxmlformats.org/spreadsheetml/2006/main" count="601" uniqueCount="177">
  <si>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</si>
  <si>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</si>
  <si>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</si>
  <si>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</si>
  <si>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</si>
  <si>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</si>
  <si>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</si>
  <si>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</si>
  <si>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</si>
  <si>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</si>
  <si>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</si>
  <si>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</si>
  <si>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</si>
  <si>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</si>
  <si>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</si>
  <si>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</si>
  <si>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</si>
  <si>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</si>
  <si>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</si>
  <si>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</si>
  <si>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</si>
  <si>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</si>
  <si>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</si>
  <si>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</si>
  <si>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</si>
  <si>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</si>
  <si>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</si>
  <si>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</si>
  <si>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</si>
  <si>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</si>
  <si>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</si>
  <si>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</si>
  <si>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</si>
  <si>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</si>
  <si>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</si>
  <si>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</si>
  <si>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</si>
  <si>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</si>
  <si>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</si>
  <si>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</si>
  <si>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</si>
  <si>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</si>
  <si>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</si>
  <si>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</si>
  <si>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</si>
  <si>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</si>
  <si>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</si>
  <si>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</si>
  <si>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</si>
  <si>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</si>
  <si>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</si>
  <si>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</si>
  <si>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</si>
  <si>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</si>
  <si>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</si>
  <si>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</si>
  <si>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</si>
  <si>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</si>
  <si>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</si>
  <si>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</si>
  <si>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</si>
  <si>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</si>
  <si>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</si>
  <si>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</si>
  <si>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</si>
  <si>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</si>
  <si>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</si>
  <si>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</si>
  <si>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</si>
  <si>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</si>
  <si>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</si>
  <si>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</si>
  <si>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</si>
  <si>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</si>
  <si>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</si>
  <si>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</si>
  <si>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</si>
  <si>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</si>
  <si>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</si>
  <si>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</si>
  <si>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</si>
  <si>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</si>
  <si>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</si>
  <si>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нет</t>
  </si>
  <si>
    <t xml:space="preserve">                     Представитель собственников  - старший по дому Горбачева Е.И.,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</si>
  <si>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Пацаева, 17 А</t>
  </si>
  <si>
    <t>Старший по дому                                                                 Е.И. Горбачева</t>
  </si>
  <si>
    <t>Претензий по управлению нет (да)</t>
  </si>
  <si>
    <t>ОТЧЕТ
за  2009 г. о выполненнии условий  договора управления МКД
№ 84/6 от 28.03.2008 г., заключенного между ООО "ОЖКС №6" 
и собственниками многоквартирного дома
по адресу: ул. Пацаева, 17 А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</si>
  <si>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</si>
  <si>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</si>
  <si>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</si>
  <si>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</si>
  <si>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</si>
  <si>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</si>
  <si>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</si>
  <si>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</si>
  <si>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</si>
  <si>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</si>
  <si>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</si>
  <si>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</si>
  <si>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</si>
  <si>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</si>
  <si>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</si>
  <si>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</si>
  <si>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</si>
  <si>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</si>
  <si>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</si>
  <si>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</si>
  <si>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</si>
  <si>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</si>
  <si>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</si>
  <si>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</si>
  <si>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</si>
  <si>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</si>
  <si>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</si>
  <si>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</si>
  <si>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</si>
  <si>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</si>
  <si>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</si>
  <si>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</si>
  <si>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</si>
  <si>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</si>
  <si>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</si>
  <si>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</si>
  <si>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</si>
  <si>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</si>
  <si>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</si>
  <si>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</si>
  <si>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</si>
  <si>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2010 г. о выполненнии условий  договора управления МКД 
№ 84/6 от 28.03.2008 г., заключенного между ООО "ОЖКС №6" 
и собственниками многоквартирного дома
по адресу: ул. Пацаева, 17 А</t>
  </si>
  <si>
    <t xml:space="preserve">                     Представитель собственников  - старший по дому Горбачева Е.И.,с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</si>
  <si>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Смета 
доходов и расходов на  2011 г. согласно договора управления МКД 
№ 84/6 от 28.03.2008 г., заключенного между ООО "ОЖКС №6" 
и собственниками многоквартирного дома
по адресу: ул. Пацаева, 17 А</t>
  </si>
  <si>
    <t>Сбор, вывоз  бытового мусора, содержание  мусоропроводов</t>
  </si>
  <si>
    <t>ОТЧЕТ
за  2011 г. о выполненнии условий  договора управления МКД 
№ 84/6 от 28.03.2008 г., заключенного между ООО "ОЖКС №6" 
и собственниками многоквартирного дома
по адресу: ул. Пацаева, 17 А</t>
  </si>
  <si>
    <t xml:space="preserve">                     Представитель собственников  - старший по дому ________________________________,с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</si>
  <si>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</si>
  <si>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   _____________________________</t>
  </si>
  <si>
    <t xml:space="preserve">Капитальный ремонт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</si>
  <si>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</si>
  <si>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Смета 
доходов и расходов на  2012 г. согласно договора управления МКД 
№ 84/6 от 28.03.2008 г., заключенного между ООО "ОЖКС №6" 
и собственниками многоквартирного дома
по адресу: ул. Пацаева, 17 А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</si>
  <si>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</si>
  <si>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</si>
  <si>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</si>
  <si>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Сбор, вывоз  бытового мусора, содержание контейнерных площадок</t>
  </si>
  <si>
    <t xml:space="preserve">Содержание и уборка  придомовой территории </t>
  </si>
  <si>
    <t>подметание асфальта -   1 раз/неделю,                
подбор мусора - ежедневно</t>
  </si>
  <si>
    <t>ООО "ОЖКС № 3"</t>
  </si>
  <si>
    <t>1.2.</t>
  </si>
  <si>
    <t>по плану работ</t>
  </si>
  <si>
    <t>ООО  "ОЖКС № 3"</t>
  </si>
  <si>
    <t>1.3.</t>
  </si>
  <si>
    <t>* в случае уточнения площадей возможно изменение стоимости</t>
  </si>
  <si>
    <t>Справочно: индекс увеличения тарифа по году 103%:</t>
  </si>
  <si>
    <t>- с 1 января 2012г. Тариф остается на уровне 2011г.</t>
  </si>
  <si>
    <t>- с 1 июля 2012г. к Тарифу применен индекс 106%.</t>
  </si>
  <si>
    <t xml:space="preserve">           Представитель собственников</t>
  </si>
  <si>
    <t xml:space="preserve">            ________________________</t>
  </si>
  <si>
    <t>Адрес: ул. Пацаева, 17А</t>
  </si>
  <si>
    <t xml:space="preserve">Директор ООО "ОЖКС № 6"                                                                       </t>
  </si>
  <si>
    <t>________________ Л.И. Никашина</t>
  </si>
  <si>
    <t>Тариф с 1 сентября 2012 г. - 15,36 руб., капитальный ремонт - 0,80 руб.</t>
  </si>
  <si>
    <t>Тариф 
на 1 кв.м. 
сентябрь-декабрь 2012г.
руб.</t>
  </si>
  <si>
    <t>Стоимость работ
сентябрь-декабрь 2012г. руб.</t>
  </si>
  <si>
    <t>5=гр.4*Sдома*4мес.</t>
  </si>
  <si>
    <t xml:space="preserve">                     Представитель собственников  - старший по дому ________________________________,с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с 01.01.12г. по 31.08.2012г.</t>
  </si>
  <si>
    <t>Тариф 01.01.12г-30.06.12г</t>
  </si>
  <si>
    <t>Тариф 01.07.12г.-31.08.12г.</t>
  </si>
  <si>
    <t>Сумма 
с 01.01.12г по 31.08.12г.,
 руб.</t>
  </si>
  <si>
    <t>кол-во мес. по дог. управления</t>
  </si>
  <si>
    <t xml:space="preserve"> - прочие доходы </t>
  </si>
  <si>
    <t>Сбор, вывоз бытового мусора</t>
  </si>
  <si>
    <t xml:space="preserve">Финансовый результат за с 01.01.12г. по 31.08.12г.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</si>
  <si>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</si>
  <si>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</si>
  <si>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</si>
  <si>
    <t>ОТЧЕТ
с 01.01.12г. по 31.08.2012г. о выполненнии условий  договора управления МКД 
№ 84/6 от 28.03.2008 г., заключенного между ООО "ОЖКС №6" 
и собственниками многоквартирного дома
по адресу: ул. Пацаева, 17А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</si>
</sst>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2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170" fontId="2" fillId="0" borderId="1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3" fontId="0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B43" sqref="B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4.50390625" style="0" customWidth="1"/>
    <col min="9" max="9" width="9.875" style="0" bestFit="1" customWidth="1"/>
  </cols>
  <sheetData>
    <row r="1" spans="1:8" ht="121.5" customHeight="1">
      <c r="A1" s="159" t="s">
        <v>88</v>
      </c>
      <c r="B1" s="159"/>
      <c r="C1" s="159"/>
      <c r="D1" s="159"/>
      <c r="E1" s="159"/>
      <c r="F1" s="159"/>
      <c r="G1" s="159"/>
      <c r="H1" s="159"/>
    </row>
    <row r="2" spans="1:8" ht="78" customHeight="1">
      <c r="A2" s="168" t="s">
        <v>84</v>
      </c>
      <c r="B2" s="168"/>
      <c r="C2" s="168"/>
      <c r="D2" s="168"/>
      <c r="E2" s="168"/>
      <c r="F2" s="168"/>
      <c r="G2" s="168"/>
      <c r="H2" s="168"/>
    </row>
    <row r="3" spans="1:6" ht="18.75">
      <c r="A3" s="1" t="s">
        <v>77</v>
      </c>
      <c r="B3" s="1" t="s">
        <v>85</v>
      </c>
      <c r="C3" s="2"/>
      <c r="D3" s="2" t="s">
        <v>0</v>
      </c>
      <c r="E3" s="4">
        <v>7522.1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144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83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63"/>
      <c r="C7" s="163"/>
      <c r="D7" s="163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64" t="s">
        <v>64</v>
      </c>
      <c r="C8" s="165"/>
      <c r="D8" s="165"/>
      <c r="E8" s="165"/>
      <c r="F8" s="166"/>
      <c r="G8" s="15"/>
      <c r="H8" s="16"/>
    </row>
    <row r="9" spans="1:8" ht="15.75" customHeight="1">
      <c r="A9" s="23"/>
      <c r="B9" s="170" t="s">
        <v>73</v>
      </c>
      <c r="C9" s="170"/>
      <c r="D9" s="170"/>
      <c r="E9" s="170"/>
      <c r="F9" s="170"/>
      <c r="G9" s="15"/>
      <c r="H9" s="32">
        <v>63467.04</v>
      </c>
    </row>
    <row r="10" spans="1:8" ht="15.75">
      <c r="A10" s="23">
        <v>1</v>
      </c>
      <c r="B10" s="161" t="s">
        <v>62</v>
      </c>
      <c r="C10" s="161"/>
      <c r="D10" s="161"/>
      <c r="E10" s="161"/>
      <c r="F10" s="161"/>
      <c r="G10" s="17"/>
      <c r="H10" s="35">
        <v>1103370.71</v>
      </c>
    </row>
    <row r="11" spans="1:8" ht="15.75">
      <c r="A11" s="23"/>
      <c r="B11" s="161" t="s">
        <v>75</v>
      </c>
      <c r="C11" s="161"/>
      <c r="D11" s="161"/>
      <c r="E11" s="161"/>
      <c r="F11" s="161"/>
      <c r="G11" s="17"/>
      <c r="H11" s="49">
        <f>H10*0.9</f>
        <v>993033.639</v>
      </c>
    </row>
    <row r="12" spans="1:8" ht="15.75">
      <c r="A12" s="23"/>
      <c r="B12" s="161" t="s">
        <v>76</v>
      </c>
      <c r="C12" s="161"/>
      <c r="D12" s="161"/>
      <c r="E12" s="161"/>
      <c r="F12" s="161"/>
      <c r="G12" s="17"/>
      <c r="H12" s="36">
        <f>H10-H11</f>
        <v>110337.071</v>
      </c>
    </row>
    <row r="13" spans="1:8" ht="15.75">
      <c r="A13" s="23">
        <v>2</v>
      </c>
      <c r="B13" s="161" t="s">
        <v>63</v>
      </c>
      <c r="C13" s="161"/>
      <c r="D13" s="161"/>
      <c r="E13" s="161"/>
      <c r="F13" s="161"/>
      <c r="G13" s="17"/>
      <c r="H13" s="18">
        <v>1088126.43</v>
      </c>
    </row>
    <row r="14" spans="1:8" ht="15.75">
      <c r="A14" s="23">
        <v>3</v>
      </c>
      <c r="B14" s="161" t="s">
        <v>67</v>
      </c>
      <c r="C14" s="161"/>
      <c r="D14" s="161"/>
      <c r="E14" s="161"/>
      <c r="F14" s="161"/>
      <c r="G14" s="17"/>
      <c r="H14" s="36">
        <f>H10-H13</f>
        <v>15244.280000000028</v>
      </c>
    </row>
    <row r="15" spans="1:9" ht="15.75">
      <c r="A15" s="23">
        <v>4</v>
      </c>
      <c r="B15" s="170" t="s">
        <v>74</v>
      </c>
      <c r="C15" s="170"/>
      <c r="D15" s="170"/>
      <c r="E15" s="170"/>
      <c r="F15" s="170"/>
      <c r="G15" s="17"/>
      <c r="H15" s="37">
        <f>H9+H10-H13</f>
        <v>78711.32000000007</v>
      </c>
      <c r="I15" s="31"/>
    </row>
    <row r="16" spans="1:8" ht="18.75">
      <c r="A16" s="23">
        <v>5</v>
      </c>
      <c r="B16" s="171" t="s">
        <v>65</v>
      </c>
      <c r="C16" s="171"/>
      <c r="D16" s="171"/>
      <c r="E16" s="171"/>
      <c r="F16" s="171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62" t="s">
        <v>18</v>
      </c>
      <c r="C18" s="162"/>
      <c r="D18" s="162"/>
      <c r="E18" s="6" t="s">
        <v>32</v>
      </c>
      <c r="F18" s="6" t="s">
        <v>24</v>
      </c>
      <c r="G18" s="12">
        <v>1.06</v>
      </c>
      <c r="H18" s="39">
        <f>ROUND(G18*$E$3*12,2)</f>
        <v>95681.11</v>
      </c>
    </row>
    <row r="19" spans="1:8" ht="15.75">
      <c r="A19" s="23" t="s">
        <v>41</v>
      </c>
      <c r="B19" s="162" t="s">
        <v>17</v>
      </c>
      <c r="C19" s="162"/>
      <c r="D19" s="162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23468.95</v>
      </c>
    </row>
    <row r="20" spans="1:8" ht="15.75">
      <c r="A20" s="26" t="s">
        <v>42</v>
      </c>
      <c r="B20" s="161" t="s">
        <v>23</v>
      </c>
      <c r="C20" s="161"/>
      <c r="D20" s="161"/>
      <c r="E20" s="7" t="s">
        <v>8</v>
      </c>
      <c r="F20" s="7" t="s">
        <v>20</v>
      </c>
      <c r="G20" s="12">
        <v>0.9</v>
      </c>
      <c r="H20" s="39">
        <f t="shared" si="0"/>
        <v>81238.68</v>
      </c>
    </row>
    <row r="21" spans="1:8" ht="33" customHeight="1">
      <c r="A21" s="23" t="s">
        <v>43</v>
      </c>
      <c r="B21" s="167" t="s">
        <v>31</v>
      </c>
      <c r="C21" s="167"/>
      <c r="D21" s="167"/>
      <c r="E21" s="8" t="s">
        <v>9</v>
      </c>
      <c r="F21" s="8" t="s">
        <v>10</v>
      </c>
      <c r="G21" s="12">
        <v>0.46</v>
      </c>
      <c r="H21" s="39">
        <f t="shared" si="0"/>
        <v>41521.99</v>
      </c>
    </row>
    <row r="22" spans="1:8" ht="63">
      <c r="A22" s="26" t="s">
        <v>46</v>
      </c>
      <c r="B22" s="161" t="s">
        <v>27</v>
      </c>
      <c r="C22" s="161"/>
      <c r="D22" s="161"/>
      <c r="E22" s="7" t="s">
        <v>34</v>
      </c>
      <c r="F22" s="7" t="s">
        <v>25</v>
      </c>
      <c r="G22" s="12">
        <v>0.11</v>
      </c>
      <c r="H22" s="39">
        <f t="shared" si="0"/>
        <v>9929.17</v>
      </c>
    </row>
    <row r="23" spans="1:8" ht="31.5">
      <c r="A23" s="23" t="s">
        <v>44</v>
      </c>
      <c r="B23" s="161" t="s">
        <v>11</v>
      </c>
      <c r="C23" s="161"/>
      <c r="D23" s="161"/>
      <c r="E23" s="7" t="s">
        <v>9</v>
      </c>
      <c r="F23" s="7" t="s">
        <v>12</v>
      </c>
      <c r="G23" s="12">
        <v>1.89</v>
      </c>
      <c r="H23" s="39">
        <f t="shared" si="0"/>
        <v>170601.23</v>
      </c>
    </row>
    <row r="24" spans="1:8" ht="15.75">
      <c r="A24" s="26" t="s">
        <v>45</v>
      </c>
      <c r="B24" s="161" t="s">
        <v>26</v>
      </c>
      <c r="C24" s="169"/>
      <c r="D24" s="169"/>
      <c r="E24" s="9" t="s">
        <v>13</v>
      </c>
      <c r="F24" s="9" t="s">
        <v>14</v>
      </c>
      <c r="G24" s="12">
        <v>0.04</v>
      </c>
      <c r="H24" s="39">
        <f t="shared" si="0"/>
        <v>3610.61</v>
      </c>
    </row>
    <row r="25" spans="1:8" ht="36.75" customHeight="1">
      <c r="A25" s="23" t="s">
        <v>47</v>
      </c>
      <c r="B25" s="172" t="s">
        <v>81</v>
      </c>
      <c r="C25" s="173"/>
      <c r="D25" s="174"/>
      <c r="E25" s="9" t="s">
        <v>13</v>
      </c>
      <c r="F25" s="45" t="s">
        <v>82</v>
      </c>
      <c r="G25" s="12">
        <v>0.22</v>
      </c>
      <c r="H25" s="39">
        <f t="shared" si="0"/>
        <v>19858.34</v>
      </c>
    </row>
    <row r="26" spans="1:8" ht="31.5">
      <c r="A26" s="26" t="s">
        <v>48</v>
      </c>
      <c r="B26" s="161" t="s">
        <v>71</v>
      </c>
      <c r="C26" s="161"/>
      <c r="D26" s="161"/>
      <c r="E26" s="6" t="s">
        <v>35</v>
      </c>
      <c r="F26" s="46" t="s">
        <v>82</v>
      </c>
      <c r="G26" s="12">
        <v>2.5</v>
      </c>
      <c r="H26" s="39">
        <f t="shared" si="0"/>
        <v>225663</v>
      </c>
    </row>
    <row r="27" spans="1:8" ht="31.5">
      <c r="A27" s="23" t="s">
        <v>49</v>
      </c>
      <c r="B27" s="162" t="s">
        <v>15</v>
      </c>
      <c r="C27" s="162"/>
      <c r="D27" s="162"/>
      <c r="E27" s="6" t="s">
        <v>35</v>
      </c>
      <c r="F27" s="46" t="s">
        <v>82</v>
      </c>
      <c r="G27" s="12">
        <v>0.46</v>
      </c>
      <c r="H27" s="39">
        <f t="shared" si="0"/>
        <v>41521.99</v>
      </c>
    </row>
    <row r="28" spans="1:8" ht="31.5">
      <c r="A28" s="26" t="s">
        <v>50</v>
      </c>
      <c r="B28" s="175" t="s">
        <v>36</v>
      </c>
      <c r="C28" s="176"/>
      <c r="D28" s="176"/>
      <c r="E28" s="6" t="s">
        <v>35</v>
      </c>
      <c r="F28" s="46" t="s">
        <v>82</v>
      </c>
      <c r="G28" s="48">
        <f>2.14-G29-G30</f>
        <v>1.8900000000000001</v>
      </c>
      <c r="H28" s="39">
        <f t="shared" si="0"/>
        <v>170601.23</v>
      </c>
    </row>
    <row r="29" spans="1:8" ht="31.5">
      <c r="A29" s="23" t="s">
        <v>51</v>
      </c>
      <c r="B29" s="161" t="s">
        <v>28</v>
      </c>
      <c r="C29" s="161"/>
      <c r="D29" s="161"/>
      <c r="E29" s="6" t="s">
        <v>35</v>
      </c>
      <c r="F29" s="46" t="s">
        <v>82</v>
      </c>
      <c r="G29" s="13">
        <v>0.25</v>
      </c>
      <c r="H29" s="39">
        <f t="shared" si="0"/>
        <v>22566.3</v>
      </c>
    </row>
    <row r="30" spans="1:8" ht="31.5">
      <c r="A30" s="26" t="s">
        <v>52</v>
      </c>
      <c r="B30" s="161" t="s">
        <v>29</v>
      </c>
      <c r="C30" s="161"/>
      <c r="D30" s="161"/>
      <c r="E30" s="6" t="s">
        <v>35</v>
      </c>
      <c r="F30" s="46" t="s">
        <v>82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169" t="s">
        <v>21</v>
      </c>
      <c r="C31" s="169"/>
      <c r="D31" s="169"/>
      <c r="E31" s="6" t="s">
        <v>35</v>
      </c>
      <c r="F31" s="46" t="s">
        <v>82</v>
      </c>
      <c r="G31" s="9">
        <v>1.26</v>
      </c>
      <c r="H31" s="39">
        <f t="shared" si="0"/>
        <v>113734.15</v>
      </c>
    </row>
    <row r="32" spans="1:8" ht="15.75">
      <c r="A32" s="23" t="s">
        <v>54</v>
      </c>
      <c r="B32" s="177" t="s">
        <v>30</v>
      </c>
      <c r="C32" s="177"/>
      <c r="D32" s="177"/>
      <c r="E32" s="14"/>
      <c r="F32" s="46"/>
      <c r="G32" s="21">
        <f>SUM(G18:G31)</f>
        <v>11.299999999999999</v>
      </c>
      <c r="H32" s="40">
        <f>SUM(H18:H31)</f>
        <v>1019996.7500000001</v>
      </c>
    </row>
    <row r="33" spans="1:8" ht="15.75">
      <c r="A33" s="23" t="s">
        <v>55</v>
      </c>
      <c r="B33" s="170" t="s">
        <v>37</v>
      </c>
      <c r="C33" s="169"/>
      <c r="D33" s="169"/>
      <c r="E33" s="14"/>
      <c r="F33" s="46" t="s">
        <v>82</v>
      </c>
      <c r="G33" s="24">
        <f>H33/E3/12</f>
        <v>0.8319928388792137</v>
      </c>
      <c r="H33" s="28">
        <v>75100</v>
      </c>
    </row>
    <row r="34" spans="1:8" ht="18.75">
      <c r="A34" s="25" t="s">
        <v>56</v>
      </c>
      <c r="B34" s="156" t="s">
        <v>69</v>
      </c>
      <c r="C34" s="156"/>
      <c r="D34" s="156"/>
      <c r="E34" s="156"/>
      <c r="F34" s="156"/>
      <c r="G34" s="5">
        <f>SUM(G32:G33)</f>
        <v>12.131992838879214</v>
      </c>
      <c r="H34" s="41">
        <f>SUM(H32:H33)</f>
        <v>1095096.75</v>
      </c>
    </row>
    <row r="35" spans="1:8" ht="18.75">
      <c r="A35" s="23" t="s">
        <v>61</v>
      </c>
      <c r="B35" s="153" t="s">
        <v>38</v>
      </c>
      <c r="C35" s="154"/>
      <c r="D35" s="154"/>
      <c r="E35" s="154"/>
      <c r="F35" s="154"/>
      <c r="G35" s="155"/>
      <c r="H35" s="29"/>
    </row>
    <row r="36" spans="1:8" ht="15.75" customHeight="1">
      <c r="A36" s="23" t="s">
        <v>57</v>
      </c>
      <c r="B36" s="178" t="s">
        <v>68</v>
      </c>
      <c r="C36" s="179"/>
      <c r="D36" s="179"/>
      <c r="E36" s="179"/>
      <c r="F36" s="179"/>
      <c r="G36" s="152"/>
      <c r="H36" s="30">
        <v>-80548.99</v>
      </c>
    </row>
    <row r="37" spans="1:8" ht="15.75" customHeight="1">
      <c r="A37" s="23" t="s">
        <v>58</v>
      </c>
      <c r="B37" s="178" t="s">
        <v>72</v>
      </c>
      <c r="C37" s="179"/>
      <c r="D37" s="179"/>
      <c r="E37" s="179"/>
      <c r="F37" s="179"/>
      <c r="G37" s="152"/>
      <c r="H37" s="42">
        <f>H13-H34</f>
        <v>-6970.320000000065</v>
      </c>
    </row>
    <row r="38" spans="1:8" ht="15.75" customHeight="1">
      <c r="A38" s="23" t="s">
        <v>59</v>
      </c>
      <c r="B38" s="178" t="s">
        <v>70</v>
      </c>
      <c r="C38" s="179"/>
      <c r="D38" s="179"/>
      <c r="E38" s="179"/>
      <c r="F38" s="179"/>
      <c r="G38" s="152"/>
      <c r="H38" s="42">
        <f>H36+H37</f>
        <v>-87519.31000000007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160" t="s">
        <v>87</v>
      </c>
      <c r="C44" s="160"/>
      <c r="D44" s="160"/>
    </row>
  </sheetData>
  <sheetProtection/>
  <mergeCells count="34"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A1:H1"/>
    <mergeCell ref="B7:D7"/>
    <mergeCell ref="B8:F8"/>
    <mergeCell ref="B21:D21"/>
    <mergeCell ref="B11:F11"/>
    <mergeCell ref="B12:F12"/>
    <mergeCell ref="B10:F10"/>
    <mergeCell ref="B13:F13"/>
    <mergeCell ref="B14:F14"/>
    <mergeCell ref="A2:H2"/>
    <mergeCell ref="B22:D22"/>
    <mergeCell ref="B19:D19"/>
    <mergeCell ref="B20:D20"/>
    <mergeCell ref="B18:D18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00390625" style="0" customWidth="1"/>
    <col min="6" max="6" width="18.00390625" style="0" hidden="1" customWidth="1"/>
    <col min="7" max="7" width="0.12890625" style="0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59" t="s">
        <v>130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54" customHeight="1">
      <c r="A2" s="192" t="s">
        <v>131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7522.1</v>
      </c>
      <c r="F3" s="2"/>
      <c r="I3" s="69">
        <v>0</v>
      </c>
    </row>
    <row r="4" spans="2:9" ht="15.75">
      <c r="B4" s="3" t="s">
        <v>1</v>
      </c>
      <c r="C4" s="27">
        <v>9</v>
      </c>
      <c r="D4" s="2" t="s">
        <v>2</v>
      </c>
      <c r="E4" s="4">
        <v>144</v>
      </c>
      <c r="F4" s="2"/>
      <c r="I4" t="s">
        <v>91</v>
      </c>
    </row>
    <row r="5" spans="2:9" ht="15.75">
      <c r="B5" s="3" t="s">
        <v>3</v>
      </c>
      <c r="C5" s="4">
        <v>4</v>
      </c>
      <c r="D5" s="2" t="s">
        <v>4</v>
      </c>
      <c r="E5" s="2" t="s">
        <v>83</v>
      </c>
      <c r="F5" s="2"/>
      <c r="G5" s="2"/>
      <c r="I5" s="2" t="s">
        <v>98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99</v>
      </c>
    </row>
    <row r="7" spans="1:10" ht="39" customHeight="1">
      <c r="A7" s="22" t="s">
        <v>60</v>
      </c>
      <c r="B7" s="193" t="s">
        <v>100</v>
      </c>
      <c r="C7" s="194"/>
      <c r="D7" s="195"/>
      <c r="E7" s="11" t="s">
        <v>6</v>
      </c>
      <c r="F7" s="11" t="s">
        <v>7</v>
      </c>
      <c r="G7" s="33" t="s">
        <v>22</v>
      </c>
      <c r="H7" s="196" t="s">
        <v>101</v>
      </c>
      <c r="I7" s="197"/>
      <c r="J7" s="198"/>
    </row>
    <row r="8" spans="1:10" ht="15.75">
      <c r="A8" s="23">
        <v>1</v>
      </c>
      <c r="B8" s="164"/>
      <c r="C8" s="165"/>
      <c r="D8" s="165"/>
      <c r="E8" s="165"/>
      <c r="F8" s="166"/>
      <c r="G8" s="71"/>
      <c r="H8" s="72" t="s">
        <v>102</v>
      </c>
      <c r="I8" s="73" t="s">
        <v>103</v>
      </c>
      <c r="J8" s="73" t="s">
        <v>104</v>
      </c>
    </row>
    <row r="9" spans="1:10" ht="15.75">
      <c r="A9" s="23"/>
      <c r="B9" s="164" t="s">
        <v>105</v>
      </c>
      <c r="C9" s="165"/>
      <c r="D9" s="165"/>
      <c r="E9" s="165"/>
      <c r="F9" s="166"/>
      <c r="G9" s="60"/>
      <c r="H9" s="60"/>
      <c r="I9" s="52"/>
      <c r="J9" s="73"/>
    </row>
    <row r="10" spans="1:10" ht="15.75" customHeight="1">
      <c r="A10" s="74"/>
      <c r="B10" s="190" t="s">
        <v>106</v>
      </c>
      <c r="C10" s="190"/>
      <c r="D10" s="190"/>
      <c r="E10" s="190"/>
      <c r="F10" s="190"/>
      <c r="G10" s="15"/>
      <c r="H10" s="75">
        <v>1072128.47</v>
      </c>
      <c r="I10" s="57"/>
      <c r="J10" s="76">
        <f>H10+I10</f>
        <v>1072128.47</v>
      </c>
    </row>
    <row r="11" spans="1:10" ht="15.75" customHeight="1">
      <c r="A11" s="74"/>
      <c r="B11" s="190" t="s">
        <v>107</v>
      </c>
      <c r="C11" s="190"/>
      <c r="D11" s="190"/>
      <c r="E11" s="190"/>
      <c r="F11" s="190"/>
      <c r="G11" s="15"/>
      <c r="H11" s="16">
        <v>43811.13</v>
      </c>
      <c r="I11" s="57"/>
      <c r="J11" s="76">
        <f>H11+I11</f>
        <v>43811.13</v>
      </c>
    </row>
    <row r="12" spans="1:10" ht="15.75" customHeight="1">
      <c r="A12" s="23"/>
      <c r="B12" s="190" t="s">
        <v>108</v>
      </c>
      <c r="C12" s="190"/>
      <c r="D12" s="190"/>
      <c r="E12" s="190"/>
      <c r="F12" s="190"/>
      <c r="G12" s="15"/>
      <c r="H12" s="75"/>
      <c r="I12" s="57">
        <v>0</v>
      </c>
      <c r="J12" s="76">
        <f>H12+I12</f>
        <v>0</v>
      </c>
    </row>
    <row r="13" spans="1:10" ht="15.75" customHeight="1">
      <c r="A13" s="23"/>
      <c r="B13" s="190" t="s">
        <v>109</v>
      </c>
      <c r="C13" s="190"/>
      <c r="D13" s="190"/>
      <c r="E13" s="190"/>
      <c r="F13" s="190"/>
      <c r="G13" s="15"/>
      <c r="H13" s="75"/>
      <c r="I13" s="77">
        <v>0</v>
      </c>
      <c r="J13" s="76">
        <f>H13+I13</f>
        <v>0</v>
      </c>
    </row>
    <row r="14" spans="1:10" ht="15.75" customHeight="1">
      <c r="A14" s="23"/>
      <c r="B14" s="170" t="s">
        <v>110</v>
      </c>
      <c r="C14" s="170"/>
      <c r="D14" s="170"/>
      <c r="E14" s="170"/>
      <c r="F14" s="170"/>
      <c r="G14" s="15"/>
      <c r="H14" s="78">
        <f>SUM(H10:H12)</f>
        <v>1115939.5999999999</v>
      </c>
      <c r="I14" s="79">
        <f>SUM(I10:I12)</f>
        <v>0</v>
      </c>
      <c r="J14" s="78">
        <f>SUM(J10:J12)</f>
        <v>1115939.5999999999</v>
      </c>
    </row>
    <row r="15" spans="1:10" ht="18.75" customHeight="1">
      <c r="A15" s="23">
        <v>2</v>
      </c>
      <c r="B15" s="171" t="s">
        <v>65</v>
      </c>
      <c r="C15" s="171"/>
      <c r="D15" s="171"/>
      <c r="E15" s="171"/>
      <c r="F15" s="171"/>
      <c r="G15" s="15"/>
      <c r="H15" s="75"/>
      <c r="I15" s="57"/>
      <c r="J15" s="35"/>
    </row>
    <row r="16" spans="1:10" ht="15.75">
      <c r="A16" s="23" t="s">
        <v>111</v>
      </c>
      <c r="B16" s="19" t="s">
        <v>66</v>
      </c>
      <c r="C16" s="19"/>
      <c r="D16" s="19"/>
      <c r="E16" s="19"/>
      <c r="F16" s="5"/>
      <c r="G16" s="72"/>
      <c r="H16" s="72"/>
      <c r="I16" s="70"/>
      <c r="J16" s="73"/>
    </row>
    <row r="17" spans="1:10" ht="28.5" customHeight="1">
      <c r="A17" s="26"/>
      <c r="B17" s="191" t="s">
        <v>133</v>
      </c>
      <c r="C17" s="191"/>
      <c r="D17" s="191"/>
      <c r="E17" s="80" t="s">
        <v>32</v>
      </c>
      <c r="F17" s="62" t="s">
        <v>24</v>
      </c>
      <c r="G17" s="63">
        <v>1.06</v>
      </c>
      <c r="H17" s="81">
        <f>ROUND(G17*$E$3*12,2)</f>
        <v>95681.11</v>
      </c>
      <c r="I17" s="82">
        <f>$I$12*0.08</f>
        <v>0</v>
      </c>
      <c r="J17" s="83">
        <f>SUM(H17:I17)</f>
        <v>95681.11</v>
      </c>
    </row>
    <row r="18" spans="1:10" ht="36" customHeight="1">
      <c r="A18" s="23"/>
      <c r="B18" s="188" t="s">
        <v>17</v>
      </c>
      <c r="C18" s="188"/>
      <c r="D18" s="188"/>
      <c r="E18" s="80" t="s">
        <v>32</v>
      </c>
      <c r="F18" s="62" t="s">
        <v>19</v>
      </c>
      <c r="G18" s="63">
        <v>0.26</v>
      </c>
      <c r="H18" s="81">
        <f>ROUND(G18*$E$3*12,2)</f>
        <v>23468.95</v>
      </c>
      <c r="I18" s="82">
        <f>$I$12*0.02</f>
        <v>0</v>
      </c>
      <c r="J18" s="83">
        <f>SUM(H18:I18)</f>
        <v>23468.95</v>
      </c>
    </row>
    <row r="19" spans="1:10" ht="20.25" customHeight="1">
      <c r="A19" s="23"/>
      <c r="B19" s="187" t="s">
        <v>23</v>
      </c>
      <c r="C19" s="187"/>
      <c r="D19" s="187"/>
      <c r="E19" s="84" t="s">
        <v>112</v>
      </c>
      <c r="F19" s="65" t="s">
        <v>20</v>
      </c>
      <c r="G19" s="63">
        <v>0.9</v>
      </c>
      <c r="H19" s="81">
        <f>J19-I19</f>
        <v>88049.8</v>
      </c>
      <c r="I19" s="82">
        <f>$I$12*0.07</f>
        <v>0</v>
      </c>
      <c r="J19" s="85">
        <v>88049.8</v>
      </c>
    </row>
    <row r="20" spans="1:10" ht="20.25" customHeight="1">
      <c r="A20" s="26"/>
      <c r="B20" s="191" t="s">
        <v>31</v>
      </c>
      <c r="C20" s="191"/>
      <c r="D20" s="191"/>
      <c r="E20" s="86" t="s">
        <v>9</v>
      </c>
      <c r="F20" s="66" t="s">
        <v>10</v>
      </c>
      <c r="G20" s="63">
        <v>0.46</v>
      </c>
      <c r="H20" s="81">
        <f>ROUND(G20*$E$3*12,2)</f>
        <v>41521.99</v>
      </c>
      <c r="I20" s="82">
        <f>$I$12*0.04</f>
        <v>0</v>
      </c>
      <c r="J20" s="83">
        <f>SUM(H20:I20)</f>
        <v>41521.99</v>
      </c>
    </row>
    <row r="21" spans="1:10" ht="65.25" customHeight="1">
      <c r="A21" s="23"/>
      <c r="B21" s="187" t="s">
        <v>27</v>
      </c>
      <c r="C21" s="187"/>
      <c r="D21" s="187"/>
      <c r="E21" s="84" t="s">
        <v>113</v>
      </c>
      <c r="F21" s="65" t="s">
        <v>25</v>
      </c>
      <c r="G21" s="63">
        <v>0.11</v>
      </c>
      <c r="H21" s="81">
        <f>J21-I21</f>
        <v>5476.09</v>
      </c>
      <c r="I21" s="82">
        <f>$I$12*0.01</f>
        <v>0</v>
      </c>
      <c r="J21" s="85">
        <v>5476.09</v>
      </c>
    </row>
    <row r="22" spans="1:10" ht="20.25" customHeight="1">
      <c r="A22" s="26"/>
      <c r="B22" s="187" t="s">
        <v>11</v>
      </c>
      <c r="C22" s="187"/>
      <c r="D22" s="187"/>
      <c r="E22" s="84" t="s">
        <v>9</v>
      </c>
      <c r="F22" s="65" t="s">
        <v>12</v>
      </c>
      <c r="G22" s="63">
        <v>1.93</v>
      </c>
      <c r="H22" s="81">
        <f>J22-I22</f>
        <v>174211.836</v>
      </c>
      <c r="I22" s="82">
        <f>$I$12*0.15</f>
        <v>0</v>
      </c>
      <c r="J22" s="85">
        <f>G22*E3*12</f>
        <v>174211.836</v>
      </c>
    </row>
    <row r="23" spans="1:10" ht="31.5" customHeight="1">
      <c r="A23" s="26"/>
      <c r="B23" s="187" t="s">
        <v>26</v>
      </c>
      <c r="C23" s="180"/>
      <c r="D23" s="180"/>
      <c r="E23" s="87" t="s">
        <v>13</v>
      </c>
      <c r="F23" s="59" t="s">
        <v>14</v>
      </c>
      <c r="G23" s="63">
        <v>0.04</v>
      </c>
      <c r="H23" s="81">
        <f>J23-I23</f>
        <v>5594.4</v>
      </c>
      <c r="I23" s="82">
        <f>$I$12*0.003</f>
        <v>0</v>
      </c>
      <c r="J23" s="85">
        <v>5594.4</v>
      </c>
    </row>
    <row r="24" spans="1:10" ht="28.5" customHeight="1">
      <c r="A24" s="23"/>
      <c r="B24" s="187" t="s">
        <v>71</v>
      </c>
      <c r="C24" s="187"/>
      <c r="D24" s="187"/>
      <c r="E24" s="80" t="s">
        <v>35</v>
      </c>
      <c r="F24" s="46" t="s">
        <v>82</v>
      </c>
      <c r="G24" s="63">
        <v>1.87</v>
      </c>
      <c r="H24" s="81">
        <f aca="true" t="shared" si="0" ref="H24:H29">ROUND(G24*$E$3*12,2)</f>
        <v>168795.92</v>
      </c>
      <c r="I24" s="82">
        <f>$I$12*0.19</f>
        <v>0</v>
      </c>
      <c r="J24" s="83">
        <f aca="true" t="shared" si="1" ref="J24:J29">SUM(H24:I24)</f>
        <v>168795.92</v>
      </c>
    </row>
    <row r="25" spans="1:10" ht="26.25" customHeight="1">
      <c r="A25" s="23"/>
      <c r="B25" s="188" t="s">
        <v>15</v>
      </c>
      <c r="C25" s="188"/>
      <c r="D25" s="188"/>
      <c r="E25" s="80" t="s">
        <v>35</v>
      </c>
      <c r="F25" s="46" t="s">
        <v>82</v>
      </c>
      <c r="G25" s="63">
        <v>0.46</v>
      </c>
      <c r="H25" s="88">
        <f t="shared" si="0"/>
        <v>41521.99</v>
      </c>
      <c r="I25" s="82">
        <v>0</v>
      </c>
      <c r="J25" s="83">
        <f t="shared" si="1"/>
        <v>41521.99</v>
      </c>
    </row>
    <row r="26" spans="1:10" ht="30" customHeight="1">
      <c r="A26" s="23"/>
      <c r="B26" s="189" t="s">
        <v>36</v>
      </c>
      <c r="C26" s="185"/>
      <c r="D26" s="186"/>
      <c r="E26" s="80" t="s">
        <v>35</v>
      </c>
      <c r="F26" s="46" t="s">
        <v>82</v>
      </c>
      <c r="G26" s="48">
        <f>2.99-G27-G28</f>
        <v>2.74</v>
      </c>
      <c r="H26" s="88">
        <f t="shared" si="0"/>
        <v>247326.65</v>
      </c>
      <c r="I26" s="89">
        <f>$I$12*(0.18+0.02)</f>
        <v>0</v>
      </c>
      <c r="J26" s="83">
        <f t="shared" si="1"/>
        <v>247326.65</v>
      </c>
    </row>
    <row r="27" spans="1:10" ht="26.25" customHeight="1">
      <c r="A27" s="26"/>
      <c r="B27" s="187" t="s">
        <v>114</v>
      </c>
      <c r="C27" s="187"/>
      <c r="D27" s="187"/>
      <c r="E27" s="80" t="s">
        <v>35</v>
      </c>
      <c r="F27" s="46" t="s">
        <v>82</v>
      </c>
      <c r="G27" s="48">
        <v>0.25</v>
      </c>
      <c r="H27" s="88">
        <f t="shared" si="0"/>
        <v>22566.3</v>
      </c>
      <c r="I27" s="89">
        <f>$I$12*0.02</f>
        <v>0</v>
      </c>
      <c r="J27" s="83">
        <f t="shared" si="1"/>
        <v>22566.3</v>
      </c>
    </row>
    <row r="28" spans="1:10" ht="28.5" customHeight="1">
      <c r="A28" s="23"/>
      <c r="B28" s="187" t="s">
        <v>115</v>
      </c>
      <c r="C28" s="187"/>
      <c r="D28" s="187"/>
      <c r="E28" s="84" t="s">
        <v>9</v>
      </c>
      <c r="F28" s="46" t="s">
        <v>82</v>
      </c>
      <c r="G28" s="48">
        <v>0</v>
      </c>
      <c r="H28" s="88">
        <f t="shared" si="0"/>
        <v>0</v>
      </c>
      <c r="I28" s="89">
        <v>0</v>
      </c>
      <c r="J28" s="83">
        <f t="shared" si="1"/>
        <v>0</v>
      </c>
    </row>
    <row r="29" spans="1:10" ht="27" customHeight="1">
      <c r="A29" s="23"/>
      <c r="B29" s="180" t="s">
        <v>21</v>
      </c>
      <c r="C29" s="180"/>
      <c r="D29" s="180"/>
      <c r="E29" s="84" t="s">
        <v>9</v>
      </c>
      <c r="F29" s="46" t="s">
        <v>82</v>
      </c>
      <c r="G29" s="59">
        <v>1.26</v>
      </c>
      <c r="H29" s="81">
        <f t="shared" si="0"/>
        <v>113734.15</v>
      </c>
      <c r="I29" s="82">
        <f>$I$12*0.1</f>
        <v>0</v>
      </c>
      <c r="J29" s="83">
        <f t="shared" si="1"/>
        <v>113734.15</v>
      </c>
    </row>
    <row r="30" spans="1:10" ht="21.75" customHeight="1">
      <c r="A30" s="23"/>
      <c r="B30" s="181" t="s">
        <v>116</v>
      </c>
      <c r="C30" s="182"/>
      <c r="D30" s="183"/>
      <c r="E30" s="84" t="s">
        <v>9</v>
      </c>
      <c r="F30" s="46"/>
      <c r="G30" s="59"/>
      <c r="H30" s="88"/>
      <c r="I30" s="77"/>
      <c r="J30" s="90"/>
    </row>
    <row r="31" spans="1:10" ht="27" customHeight="1">
      <c r="A31" s="23"/>
      <c r="B31" s="181" t="s">
        <v>117</v>
      </c>
      <c r="C31" s="182"/>
      <c r="D31" s="183"/>
      <c r="E31" s="80" t="s">
        <v>35</v>
      </c>
      <c r="F31" s="46"/>
      <c r="G31" s="59"/>
      <c r="H31" s="88"/>
      <c r="I31" s="77"/>
      <c r="J31" s="90"/>
    </row>
    <row r="32" spans="1:10" ht="15.75">
      <c r="A32" s="23"/>
      <c r="B32" s="184"/>
      <c r="C32" s="185"/>
      <c r="D32" s="186"/>
      <c r="E32" s="84"/>
      <c r="F32" s="46"/>
      <c r="G32" s="59"/>
      <c r="H32" s="88"/>
      <c r="I32" s="77"/>
      <c r="J32" s="90"/>
    </row>
    <row r="33" spans="1:10" ht="15.75">
      <c r="A33" s="23"/>
      <c r="B33" s="184"/>
      <c r="C33" s="185"/>
      <c r="D33" s="186"/>
      <c r="E33" s="84"/>
      <c r="F33" s="46"/>
      <c r="G33" s="59"/>
      <c r="H33" s="88"/>
      <c r="I33" s="77"/>
      <c r="J33" s="90"/>
    </row>
    <row r="34" spans="1:10" ht="15.75">
      <c r="A34" s="23"/>
      <c r="B34" s="177" t="s">
        <v>30</v>
      </c>
      <c r="C34" s="177"/>
      <c r="D34" s="177"/>
      <c r="E34" s="14"/>
      <c r="F34" s="46"/>
      <c r="G34" s="21">
        <f>SUM(G17:G29)</f>
        <v>11.34</v>
      </c>
      <c r="H34" s="40">
        <f>SUM(H17:H33)</f>
        <v>1027949.1860000001</v>
      </c>
      <c r="I34" s="91">
        <f>SUM(I17:I33)</f>
        <v>0</v>
      </c>
      <c r="J34" s="40">
        <f>SUM(J17:J33)</f>
        <v>1027949.1860000001</v>
      </c>
    </row>
    <row r="35" spans="1:10" ht="15" customHeight="1">
      <c r="A35" s="23" t="s">
        <v>118</v>
      </c>
      <c r="B35" s="146" t="s">
        <v>119</v>
      </c>
      <c r="C35" s="147"/>
      <c r="D35" s="147"/>
      <c r="E35" s="148"/>
      <c r="F35" s="46" t="s">
        <v>82</v>
      </c>
      <c r="G35" s="24">
        <f>H35/E3/12</f>
        <v>0.11189251228601942</v>
      </c>
      <c r="H35" s="28">
        <v>10100</v>
      </c>
      <c r="I35" s="92">
        <v>0</v>
      </c>
      <c r="J35" s="78">
        <f>SUM(H35:I35)</f>
        <v>10100</v>
      </c>
    </row>
    <row r="36" spans="1:10" ht="14.25" customHeight="1">
      <c r="A36" s="25"/>
      <c r="B36" s="158" t="s">
        <v>69</v>
      </c>
      <c r="C36" s="158"/>
      <c r="D36" s="158"/>
      <c r="E36" s="158"/>
      <c r="F36" s="158"/>
      <c r="G36" s="5">
        <f>SUM(G34:G35)</f>
        <v>11.451892512286019</v>
      </c>
      <c r="H36" s="41">
        <f>SUM(H34:H35)</f>
        <v>1038049.1860000001</v>
      </c>
      <c r="I36" s="93">
        <f>SUM(I34:I35)</f>
        <v>0</v>
      </c>
      <c r="J36" s="41">
        <f>SUM(J34:J35)</f>
        <v>1038049.1860000001</v>
      </c>
    </row>
    <row r="37" spans="1:10" ht="15.75">
      <c r="A37" s="23" t="s">
        <v>120</v>
      </c>
      <c r="B37" s="157" t="s">
        <v>121</v>
      </c>
      <c r="C37" s="157"/>
      <c r="D37" s="157"/>
      <c r="E37" s="157"/>
      <c r="F37" s="157"/>
      <c r="G37" s="94"/>
      <c r="H37" s="95">
        <v>0</v>
      </c>
      <c r="I37" s="95">
        <v>0</v>
      </c>
      <c r="J37" s="96">
        <f>SUM(H37:I37)</f>
        <v>0</v>
      </c>
    </row>
    <row r="38" spans="1:10" ht="15" customHeight="1">
      <c r="A38" s="25"/>
      <c r="B38" s="158" t="s">
        <v>122</v>
      </c>
      <c r="C38" s="158"/>
      <c r="D38" s="158"/>
      <c r="E38" s="158"/>
      <c r="F38" s="158"/>
      <c r="G38" s="5">
        <f>SUM(G36:G37)</f>
        <v>11.451892512286019</v>
      </c>
      <c r="H38" s="41">
        <f>SUM(H36:H37)</f>
        <v>1038049.1860000001</v>
      </c>
      <c r="I38" s="93">
        <f>SUM(I36:I37)</f>
        <v>0</v>
      </c>
      <c r="J38" s="41">
        <f>SUM(J36:J37)</f>
        <v>1038049.1860000001</v>
      </c>
    </row>
    <row r="39" spans="1:10" ht="15.75" customHeight="1">
      <c r="A39" s="23">
        <v>3</v>
      </c>
      <c r="B39" s="149" t="s">
        <v>123</v>
      </c>
      <c r="C39" s="150"/>
      <c r="D39" s="150"/>
      <c r="E39" s="150"/>
      <c r="F39" s="150"/>
      <c r="G39" s="151"/>
      <c r="H39" s="97">
        <f>H14-H38</f>
        <v>77890.41399999976</v>
      </c>
      <c r="I39" s="81">
        <f>I14-I38</f>
        <v>0</v>
      </c>
      <c r="J39" s="98">
        <f>J14-J38</f>
        <v>77890.41399999976</v>
      </c>
    </row>
    <row r="40" spans="2:6" ht="15.75">
      <c r="B40" s="34"/>
      <c r="F40" s="34"/>
    </row>
    <row r="41" spans="2:6" ht="15.75">
      <c r="B41" s="34" t="s">
        <v>78</v>
      </c>
      <c r="C41" s="34"/>
      <c r="D41" s="34"/>
      <c r="E41" s="34"/>
      <c r="F41" s="34"/>
    </row>
    <row r="42" spans="2:4" ht="15.75">
      <c r="B42" s="34"/>
      <c r="C42" s="34"/>
      <c r="D42" s="34"/>
    </row>
    <row r="43" spans="2:4" ht="15.75">
      <c r="B43" s="99" t="s">
        <v>79</v>
      </c>
      <c r="C43" s="99"/>
      <c r="D43" s="99" t="s">
        <v>80</v>
      </c>
    </row>
    <row r="44" spans="2:5" ht="15.75" customHeight="1">
      <c r="B44" s="34" t="s">
        <v>86</v>
      </c>
      <c r="C44" s="34"/>
      <c r="D44" s="34"/>
      <c r="E44" s="34"/>
    </row>
    <row r="45" spans="2:4" ht="15.75" customHeight="1">
      <c r="B45" s="160" t="s">
        <v>87</v>
      </c>
      <c r="C45" s="160"/>
      <c r="D45" s="160"/>
    </row>
  </sheetData>
  <sheetProtection/>
  <mergeCells count="36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5:E35"/>
    <mergeCell ref="B36:F36"/>
    <mergeCell ref="B29:D29"/>
    <mergeCell ref="B30:D30"/>
    <mergeCell ref="B31:D31"/>
    <mergeCell ref="B32:D32"/>
    <mergeCell ref="B33:D33"/>
    <mergeCell ref="B34:D34"/>
    <mergeCell ref="B37:F37"/>
    <mergeCell ref="B38:F38"/>
    <mergeCell ref="B39:G39"/>
    <mergeCell ref="B45:D45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375" style="0" customWidth="1"/>
    <col min="6" max="6" width="7.875" style="0" hidden="1" customWidth="1"/>
    <col min="7" max="7" width="8.0039062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159" t="s">
        <v>132</v>
      </c>
      <c r="B1" s="159"/>
      <c r="C1" s="159"/>
      <c r="D1" s="159"/>
      <c r="E1" s="159"/>
      <c r="F1" s="159"/>
      <c r="G1" s="159"/>
      <c r="H1" s="159"/>
    </row>
    <row r="2" spans="1:6" ht="18.75">
      <c r="A2" s="1" t="s">
        <v>77</v>
      </c>
      <c r="B2" s="1" t="s">
        <v>85</v>
      </c>
      <c r="C2" s="2"/>
      <c r="D2" s="2" t="s">
        <v>0</v>
      </c>
      <c r="E2" s="4">
        <v>7522.1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83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00" t="s">
        <v>60</v>
      </c>
      <c r="B6" s="203" t="s">
        <v>100</v>
      </c>
      <c r="C6" s="204"/>
      <c r="D6" s="205"/>
      <c r="E6" s="55" t="s">
        <v>6</v>
      </c>
      <c r="F6" s="55" t="s">
        <v>7</v>
      </c>
      <c r="G6" s="101" t="s">
        <v>124</v>
      </c>
      <c r="H6" s="102" t="s">
        <v>92</v>
      </c>
    </row>
    <row r="7" spans="1:8" ht="15.75" customHeight="1">
      <c r="A7" s="56">
        <v>1</v>
      </c>
      <c r="B7" s="206" t="s">
        <v>93</v>
      </c>
      <c r="C7" s="206"/>
      <c r="D7" s="206"/>
      <c r="E7" s="206"/>
      <c r="F7" s="206"/>
      <c r="G7" s="57"/>
      <c r="H7" s="58"/>
    </row>
    <row r="8" spans="1:8" ht="15.75" customHeight="1">
      <c r="A8" s="56"/>
      <c r="B8" s="170" t="s">
        <v>125</v>
      </c>
      <c r="C8" s="170"/>
      <c r="D8" s="170"/>
      <c r="E8" s="170"/>
      <c r="F8" s="170"/>
      <c r="G8" s="24">
        <f>G31</f>
        <v>14.489999999999997</v>
      </c>
      <c r="H8" s="58">
        <f>ROUND($E$2*G8*12,0)</f>
        <v>1307943</v>
      </c>
    </row>
    <row r="9" spans="1:8" ht="15.75" customHeight="1">
      <c r="A9" s="56"/>
      <c r="B9" s="208" t="s">
        <v>94</v>
      </c>
      <c r="C9" s="208"/>
      <c r="D9" s="208"/>
      <c r="E9" s="208"/>
      <c r="F9" s="208"/>
      <c r="G9" s="23">
        <v>0.76</v>
      </c>
      <c r="H9" s="58">
        <f>ROUND($E$2*G9*12,0)</f>
        <v>68602</v>
      </c>
    </row>
    <row r="10" spans="1:8" ht="15.75" customHeight="1">
      <c r="A10" s="56">
        <v>2</v>
      </c>
      <c r="B10" s="171" t="s">
        <v>65</v>
      </c>
      <c r="C10" s="171"/>
      <c r="D10" s="171"/>
      <c r="E10" s="171"/>
      <c r="F10" s="171"/>
      <c r="G10" s="59"/>
      <c r="H10" s="58"/>
    </row>
    <row r="11" spans="1:8" ht="18.75" customHeight="1">
      <c r="A11" s="56" t="s">
        <v>111</v>
      </c>
      <c r="B11" s="19" t="s">
        <v>66</v>
      </c>
      <c r="C11" s="19"/>
      <c r="D11" s="19"/>
      <c r="E11" s="19"/>
      <c r="F11" s="5"/>
      <c r="G11" s="60"/>
      <c r="H11" s="58"/>
    </row>
    <row r="12" spans="1:8" ht="30.75" customHeight="1">
      <c r="A12" s="61"/>
      <c r="B12" s="207" t="s">
        <v>133</v>
      </c>
      <c r="C12" s="207"/>
      <c r="D12" s="207"/>
      <c r="E12" s="80" t="s">
        <v>32</v>
      </c>
      <c r="F12" s="62" t="s">
        <v>24</v>
      </c>
      <c r="G12" s="63">
        <v>1.22</v>
      </c>
      <c r="H12" s="64">
        <f aca="true" t="shared" si="0" ref="H12:H31">ROUND($E$2*G12*12,0)</f>
        <v>110124</v>
      </c>
    </row>
    <row r="13" spans="1:9" ht="15.75" customHeight="1">
      <c r="A13" s="61"/>
      <c r="B13" s="207" t="s">
        <v>17</v>
      </c>
      <c r="C13" s="207"/>
      <c r="D13" s="207"/>
      <c r="E13" s="80" t="s">
        <v>32</v>
      </c>
      <c r="F13" s="62" t="s">
        <v>19</v>
      </c>
      <c r="G13" s="63">
        <v>0.28</v>
      </c>
      <c r="H13" s="64">
        <f t="shared" si="0"/>
        <v>25274</v>
      </c>
      <c r="I13" s="31"/>
    </row>
    <row r="14" spans="1:8" ht="18.75" customHeight="1">
      <c r="A14" s="61"/>
      <c r="B14" s="209" t="s">
        <v>23</v>
      </c>
      <c r="C14" s="209"/>
      <c r="D14" s="209"/>
      <c r="E14" s="84" t="s">
        <v>112</v>
      </c>
      <c r="F14" s="65" t="s">
        <v>20</v>
      </c>
      <c r="G14" s="63">
        <v>0.99</v>
      </c>
      <c r="H14" s="64">
        <f t="shared" si="0"/>
        <v>89363</v>
      </c>
    </row>
    <row r="15" spans="1:8" ht="15.75" customHeight="1">
      <c r="A15" s="61"/>
      <c r="B15" s="211" t="s">
        <v>31</v>
      </c>
      <c r="C15" s="211"/>
      <c r="D15" s="211"/>
      <c r="E15" s="86" t="s">
        <v>9</v>
      </c>
      <c r="F15" s="66" t="s">
        <v>10</v>
      </c>
      <c r="G15" s="63">
        <v>0.51</v>
      </c>
      <c r="H15" s="64">
        <f t="shared" si="0"/>
        <v>46035</v>
      </c>
    </row>
    <row r="16" spans="1:8" ht="31.5" customHeight="1">
      <c r="A16" s="61"/>
      <c r="B16" s="209" t="s">
        <v>27</v>
      </c>
      <c r="C16" s="209"/>
      <c r="D16" s="209"/>
      <c r="E16" s="84" t="s">
        <v>113</v>
      </c>
      <c r="F16" s="65" t="s">
        <v>25</v>
      </c>
      <c r="G16" s="63">
        <v>0.12</v>
      </c>
      <c r="H16" s="64">
        <f t="shared" si="0"/>
        <v>10832</v>
      </c>
    </row>
    <row r="17" spans="1:8" ht="15.75" customHeight="1">
      <c r="A17" s="61"/>
      <c r="B17" s="209" t="s">
        <v>11</v>
      </c>
      <c r="C17" s="209"/>
      <c r="D17" s="209"/>
      <c r="E17" s="84" t="s">
        <v>9</v>
      </c>
      <c r="F17" s="65" t="s">
        <v>12</v>
      </c>
      <c r="G17" s="63">
        <v>2.22</v>
      </c>
      <c r="H17" s="64">
        <f t="shared" si="0"/>
        <v>200389</v>
      </c>
    </row>
    <row r="18" spans="1:8" ht="15.75" customHeight="1">
      <c r="A18" s="61"/>
      <c r="B18" s="209" t="s">
        <v>26</v>
      </c>
      <c r="C18" s="210"/>
      <c r="D18" s="210"/>
      <c r="E18" s="87" t="s">
        <v>13</v>
      </c>
      <c r="F18" s="59" t="s">
        <v>95</v>
      </c>
      <c r="G18" s="63">
        <v>0.05</v>
      </c>
      <c r="H18" s="64">
        <f t="shared" si="0"/>
        <v>4513</v>
      </c>
    </row>
    <row r="19" spans="1:8" ht="33" customHeight="1">
      <c r="A19" s="61"/>
      <c r="B19" s="209" t="s">
        <v>71</v>
      </c>
      <c r="C19" s="209"/>
      <c r="D19" s="209"/>
      <c r="E19" s="80" t="s">
        <v>35</v>
      </c>
      <c r="F19" s="65" t="s">
        <v>82</v>
      </c>
      <c r="G19" s="63">
        <v>2.15</v>
      </c>
      <c r="H19" s="64">
        <f t="shared" si="0"/>
        <v>194070</v>
      </c>
    </row>
    <row r="20" spans="1:8" ht="51">
      <c r="A20" s="61"/>
      <c r="B20" s="207" t="s">
        <v>15</v>
      </c>
      <c r="C20" s="207"/>
      <c r="D20" s="207"/>
      <c r="E20" s="80" t="s">
        <v>96</v>
      </c>
      <c r="F20" s="65" t="s">
        <v>82</v>
      </c>
      <c r="G20" s="63">
        <v>0.53</v>
      </c>
      <c r="H20" s="64">
        <f t="shared" si="0"/>
        <v>47841</v>
      </c>
    </row>
    <row r="21" spans="1:8" ht="34.5" customHeight="1">
      <c r="A21" s="61"/>
      <c r="B21" s="209" t="s">
        <v>36</v>
      </c>
      <c r="C21" s="210"/>
      <c r="D21" s="210"/>
      <c r="E21" s="80" t="s">
        <v>35</v>
      </c>
      <c r="F21" s="65" t="s">
        <v>82</v>
      </c>
      <c r="G21" s="63">
        <f>3.52-G22-G23</f>
        <v>3.23</v>
      </c>
      <c r="H21" s="64">
        <f t="shared" si="0"/>
        <v>291557</v>
      </c>
    </row>
    <row r="22" spans="1:8" ht="24" customHeight="1">
      <c r="A22" s="61"/>
      <c r="B22" s="209" t="s">
        <v>126</v>
      </c>
      <c r="C22" s="209"/>
      <c r="D22" s="209"/>
      <c r="E22" s="84" t="s">
        <v>9</v>
      </c>
      <c r="F22" s="65" t="s">
        <v>82</v>
      </c>
      <c r="G22" s="63">
        <v>0.29</v>
      </c>
      <c r="H22" s="64">
        <f t="shared" si="0"/>
        <v>26177</v>
      </c>
    </row>
    <row r="23" spans="1:8" ht="27.75" customHeight="1">
      <c r="A23" s="61"/>
      <c r="B23" s="209" t="s">
        <v>115</v>
      </c>
      <c r="C23" s="209"/>
      <c r="D23" s="209"/>
      <c r="E23" s="84" t="s">
        <v>9</v>
      </c>
      <c r="F23" s="65" t="s">
        <v>82</v>
      </c>
      <c r="G23" s="63">
        <v>0</v>
      </c>
      <c r="H23" s="64">
        <f t="shared" si="0"/>
        <v>0</v>
      </c>
    </row>
    <row r="24" spans="1:8" ht="33" customHeight="1">
      <c r="A24" s="61"/>
      <c r="B24" s="210" t="s">
        <v>21</v>
      </c>
      <c r="C24" s="210"/>
      <c r="D24" s="210"/>
      <c r="E24" s="80" t="s">
        <v>35</v>
      </c>
      <c r="F24" s="65" t="s">
        <v>82</v>
      </c>
      <c r="G24" s="63">
        <v>1.45</v>
      </c>
      <c r="H24" s="64">
        <f t="shared" si="0"/>
        <v>130885</v>
      </c>
    </row>
    <row r="25" spans="1:8" ht="15.75">
      <c r="A25" s="23"/>
      <c r="B25" s="181" t="s">
        <v>116</v>
      </c>
      <c r="C25" s="182"/>
      <c r="D25" s="183"/>
      <c r="E25" s="84" t="s">
        <v>9</v>
      </c>
      <c r="F25" s="65"/>
      <c r="G25" s="63"/>
      <c r="H25" s="64"/>
    </row>
    <row r="26" spans="1:8" ht="31.5" customHeight="1">
      <c r="A26" s="23"/>
      <c r="B26" s="181" t="s">
        <v>117</v>
      </c>
      <c r="C26" s="182"/>
      <c r="D26" s="183"/>
      <c r="E26" s="80" t="s">
        <v>35</v>
      </c>
      <c r="F26" s="65"/>
      <c r="G26" s="63"/>
      <c r="H26" s="64"/>
    </row>
    <row r="27" spans="1:8" ht="15.75" customHeight="1">
      <c r="A27" s="61"/>
      <c r="B27" s="184"/>
      <c r="C27" s="185"/>
      <c r="D27" s="186"/>
      <c r="E27" s="80"/>
      <c r="F27" s="65"/>
      <c r="G27" s="63"/>
      <c r="H27" s="64"/>
    </row>
    <row r="28" spans="1:8" ht="15.75">
      <c r="A28" s="61"/>
      <c r="B28" s="184"/>
      <c r="C28" s="185"/>
      <c r="D28" s="186"/>
      <c r="E28" s="80"/>
      <c r="F28" s="65"/>
      <c r="G28" s="63"/>
      <c r="H28" s="64"/>
    </row>
    <row r="29" spans="1:8" ht="15.75">
      <c r="A29" s="61"/>
      <c r="B29" s="212" t="s">
        <v>30</v>
      </c>
      <c r="C29" s="213"/>
      <c r="D29" s="214"/>
      <c r="E29" s="14"/>
      <c r="F29" s="65"/>
      <c r="G29" s="21">
        <f>SUM(G12:G28)</f>
        <v>13.039999999999997</v>
      </c>
      <c r="H29" s="64">
        <f t="shared" si="0"/>
        <v>1177058</v>
      </c>
    </row>
    <row r="30" spans="1:8" ht="21" customHeight="1">
      <c r="A30" s="56" t="s">
        <v>118</v>
      </c>
      <c r="B30" s="146" t="s">
        <v>127</v>
      </c>
      <c r="C30" s="147"/>
      <c r="D30" s="147"/>
      <c r="E30" s="148"/>
      <c r="F30" s="50" t="s">
        <v>97</v>
      </c>
      <c r="G30" s="24">
        <v>1.45</v>
      </c>
      <c r="H30" s="64">
        <f t="shared" si="0"/>
        <v>130885</v>
      </c>
    </row>
    <row r="31" spans="1:8" ht="15.75" customHeight="1">
      <c r="A31" s="56"/>
      <c r="B31" s="199" t="s">
        <v>128</v>
      </c>
      <c r="C31" s="199"/>
      <c r="D31" s="199"/>
      <c r="E31" s="199"/>
      <c r="F31" s="199"/>
      <c r="G31" s="21">
        <f>SUM(G29:G30)</f>
        <v>14.489999999999997</v>
      </c>
      <c r="H31" s="103">
        <f t="shared" si="0"/>
        <v>1307943</v>
      </c>
    </row>
    <row r="32" spans="1:8" ht="19.5" customHeight="1" thickBot="1">
      <c r="A32" s="104">
        <v>3</v>
      </c>
      <c r="B32" s="200" t="s">
        <v>129</v>
      </c>
      <c r="C32" s="201"/>
      <c r="D32" s="202"/>
      <c r="E32" s="105"/>
      <c r="F32" s="106" t="s">
        <v>97</v>
      </c>
      <c r="G32" s="107">
        <v>0.76</v>
      </c>
      <c r="H32" s="108">
        <f>ROUND($E$2*G32*12,0)</f>
        <v>68602</v>
      </c>
    </row>
    <row r="33" spans="7:8" ht="15.75">
      <c r="G33" s="67"/>
      <c r="H33" s="68"/>
    </row>
    <row r="34" spans="1:8" ht="15.75" customHeight="1">
      <c r="A34" s="43" t="s">
        <v>78</v>
      </c>
      <c r="B34" s="43"/>
      <c r="C34" s="43"/>
      <c r="D34" s="34"/>
      <c r="G34" s="67"/>
      <c r="H34" s="68"/>
    </row>
  </sheetData>
  <sheetProtection/>
  <mergeCells count="27">
    <mergeCell ref="B30:E30"/>
    <mergeCell ref="B13:D13"/>
    <mergeCell ref="B14:D14"/>
    <mergeCell ref="B15:D15"/>
    <mergeCell ref="B16:D16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31:F31"/>
    <mergeCell ref="B32:D32"/>
    <mergeCell ref="A1:H1"/>
    <mergeCell ref="B6:D6"/>
    <mergeCell ref="B7:F7"/>
    <mergeCell ref="B12:D12"/>
    <mergeCell ref="B8:F8"/>
    <mergeCell ref="B9:F9"/>
    <mergeCell ref="B10:F10"/>
    <mergeCell ref="B17:D1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B20">
      <selection activeCell="G17" sqref="G17:G29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75390625" style="0" customWidth="1"/>
    <col min="6" max="6" width="18.00390625" style="0" hidden="1" customWidth="1"/>
    <col min="7" max="7" width="6.75390625" style="0" bestFit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59" t="s">
        <v>134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54" customHeight="1">
      <c r="A2" s="192" t="s">
        <v>135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7522.1</v>
      </c>
      <c r="F3" s="2"/>
      <c r="I3" s="69">
        <v>0</v>
      </c>
    </row>
    <row r="4" spans="2:9" ht="15.75">
      <c r="B4" s="3" t="s">
        <v>1</v>
      </c>
      <c r="C4" s="27">
        <v>9</v>
      </c>
      <c r="D4" s="2" t="s">
        <v>2</v>
      </c>
      <c r="E4" s="4">
        <v>144</v>
      </c>
      <c r="F4" s="2"/>
      <c r="I4" t="s">
        <v>91</v>
      </c>
    </row>
    <row r="5" spans="2:9" ht="15.75">
      <c r="B5" s="3" t="s">
        <v>3</v>
      </c>
      <c r="C5" s="4">
        <v>4</v>
      </c>
      <c r="D5" s="2" t="s">
        <v>4</v>
      </c>
      <c r="E5" s="2" t="s">
        <v>83</v>
      </c>
      <c r="F5" s="2"/>
      <c r="G5" s="2"/>
      <c r="I5" s="2" t="s">
        <v>98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99</v>
      </c>
    </row>
    <row r="7" spans="1:10" ht="39" customHeight="1">
      <c r="A7" s="22" t="s">
        <v>60</v>
      </c>
      <c r="B7" s="193" t="s">
        <v>100</v>
      </c>
      <c r="C7" s="194"/>
      <c r="D7" s="195"/>
      <c r="E7" s="11" t="s">
        <v>6</v>
      </c>
      <c r="F7" s="11" t="s">
        <v>7</v>
      </c>
      <c r="G7" s="33" t="s">
        <v>22</v>
      </c>
      <c r="H7" s="196" t="s">
        <v>101</v>
      </c>
      <c r="I7" s="197"/>
      <c r="J7" s="198"/>
    </row>
    <row r="8" spans="1:10" ht="15.75">
      <c r="A8" s="23">
        <v>1</v>
      </c>
      <c r="B8" s="164"/>
      <c r="C8" s="165"/>
      <c r="D8" s="165"/>
      <c r="E8" s="165"/>
      <c r="F8" s="166"/>
      <c r="G8" s="71"/>
      <c r="H8" s="72" t="s">
        <v>102</v>
      </c>
      <c r="I8" s="73" t="s">
        <v>103</v>
      </c>
      <c r="J8" s="73" t="s">
        <v>104</v>
      </c>
    </row>
    <row r="9" spans="1:10" ht="15.75">
      <c r="A9" s="23"/>
      <c r="B9" s="164" t="s">
        <v>105</v>
      </c>
      <c r="C9" s="165"/>
      <c r="D9" s="165"/>
      <c r="E9" s="165"/>
      <c r="F9" s="166"/>
      <c r="G9" s="60"/>
      <c r="H9" s="60"/>
      <c r="I9" s="52"/>
      <c r="J9" s="73"/>
    </row>
    <row r="10" spans="1:10" ht="15.75" customHeight="1">
      <c r="A10" s="74"/>
      <c r="B10" s="190" t="s">
        <v>106</v>
      </c>
      <c r="C10" s="190"/>
      <c r="D10" s="190"/>
      <c r="E10" s="190"/>
      <c r="F10" s="190"/>
      <c r="G10" s="15"/>
      <c r="H10" s="75">
        <v>1261081.02</v>
      </c>
      <c r="I10" s="57"/>
      <c r="J10" s="76">
        <f>H10+I10</f>
        <v>1261081.02</v>
      </c>
    </row>
    <row r="11" spans="1:10" ht="15.75" customHeight="1">
      <c r="A11" s="74"/>
      <c r="B11" s="190" t="s">
        <v>107</v>
      </c>
      <c r="C11" s="190"/>
      <c r="D11" s="190"/>
      <c r="E11" s="190"/>
      <c r="F11" s="190"/>
      <c r="G11" s="15"/>
      <c r="H11" s="16">
        <v>52886.21</v>
      </c>
      <c r="I11" s="57"/>
      <c r="J11" s="76">
        <f>H11+I11</f>
        <v>52886.21</v>
      </c>
    </row>
    <row r="12" spans="1:10" ht="15.75" customHeight="1">
      <c r="A12" s="23"/>
      <c r="B12" s="190" t="s">
        <v>108</v>
      </c>
      <c r="C12" s="190"/>
      <c r="D12" s="190"/>
      <c r="E12" s="190"/>
      <c r="F12" s="190"/>
      <c r="G12" s="15"/>
      <c r="H12" s="75"/>
      <c r="I12" s="57">
        <v>0</v>
      </c>
      <c r="J12" s="76">
        <f>H12+I12</f>
        <v>0</v>
      </c>
    </row>
    <row r="13" spans="1:10" ht="15.75" customHeight="1">
      <c r="A13" s="23"/>
      <c r="B13" s="190" t="s">
        <v>109</v>
      </c>
      <c r="C13" s="190"/>
      <c r="D13" s="190"/>
      <c r="E13" s="190"/>
      <c r="F13" s="190"/>
      <c r="G13" s="15"/>
      <c r="H13" s="75">
        <v>0</v>
      </c>
      <c r="I13" s="77">
        <v>0</v>
      </c>
      <c r="J13" s="76">
        <f>H13+I13</f>
        <v>0</v>
      </c>
    </row>
    <row r="14" spans="1:10" ht="15.75" customHeight="1">
      <c r="A14" s="23"/>
      <c r="B14" s="170" t="s">
        <v>110</v>
      </c>
      <c r="C14" s="170"/>
      <c r="D14" s="170"/>
      <c r="E14" s="170"/>
      <c r="F14" s="170"/>
      <c r="G14" s="15"/>
      <c r="H14" s="78">
        <f>SUM(H10:H13)</f>
        <v>1313967.23</v>
      </c>
      <c r="I14" s="78">
        <f>SUM(I10:I13)</f>
        <v>0</v>
      </c>
      <c r="J14" s="78">
        <f>SUM(J10:J13)</f>
        <v>1313967.23</v>
      </c>
    </row>
    <row r="15" spans="1:10" ht="18.75" customHeight="1">
      <c r="A15" s="23">
        <v>2</v>
      </c>
      <c r="B15" s="171" t="s">
        <v>65</v>
      </c>
      <c r="C15" s="171"/>
      <c r="D15" s="171"/>
      <c r="E15" s="171"/>
      <c r="F15" s="171"/>
      <c r="G15" s="15"/>
      <c r="H15" s="75"/>
      <c r="I15" s="57"/>
      <c r="J15" s="35"/>
    </row>
    <row r="16" spans="1:10" ht="15.75">
      <c r="A16" s="23" t="s">
        <v>111</v>
      </c>
      <c r="B16" s="19" t="s">
        <v>66</v>
      </c>
      <c r="C16" s="19"/>
      <c r="D16" s="19"/>
      <c r="E16" s="19"/>
      <c r="F16" s="5"/>
      <c r="G16" s="72"/>
      <c r="H16" s="72"/>
      <c r="I16" s="70"/>
      <c r="J16" s="73"/>
    </row>
    <row r="17" spans="1:10" ht="28.5" customHeight="1">
      <c r="A17" s="26"/>
      <c r="B17" s="191" t="s">
        <v>133</v>
      </c>
      <c r="C17" s="191"/>
      <c r="D17" s="191"/>
      <c r="E17" s="80" t="s">
        <v>32</v>
      </c>
      <c r="F17" s="62" t="s">
        <v>24</v>
      </c>
      <c r="G17" s="63">
        <v>1.22</v>
      </c>
      <c r="H17" s="81">
        <f>ROUND(G17*$E$3*12,2)</f>
        <v>110123.54</v>
      </c>
      <c r="I17" s="82">
        <f>$I$12*0.08</f>
        <v>0</v>
      </c>
      <c r="J17" s="83">
        <f>SUM(H17:I17)</f>
        <v>110123.54</v>
      </c>
    </row>
    <row r="18" spans="1:10" ht="36" customHeight="1">
      <c r="A18" s="23"/>
      <c r="B18" s="188" t="s">
        <v>17</v>
      </c>
      <c r="C18" s="188"/>
      <c r="D18" s="188"/>
      <c r="E18" s="80" t="s">
        <v>32</v>
      </c>
      <c r="F18" s="62" t="s">
        <v>19</v>
      </c>
      <c r="G18" s="63">
        <v>0.28</v>
      </c>
      <c r="H18" s="81">
        <f>ROUND(G18*$E$3*12,2)</f>
        <v>25274.26</v>
      </c>
      <c r="I18" s="82">
        <f>$I$12*0.02</f>
        <v>0</v>
      </c>
      <c r="J18" s="83">
        <f>SUM(H18:I18)</f>
        <v>25274.26</v>
      </c>
    </row>
    <row r="19" spans="1:10" ht="20.25" customHeight="1">
      <c r="A19" s="23"/>
      <c r="B19" s="187" t="s">
        <v>23</v>
      </c>
      <c r="C19" s="187"/>
      <c r="D19" s="187"/>
      <c r="E19" s="84" t="s">
        <v>112</v>
      </c>
      <c r="F19" s="65" t="s">
        <v>20</v>
      </c>
      <c r="G19" s="63">
        <v>0.99</v>
      </c>
      <c r="H19" s="81">
        <f>J19-I19</f>
        <v>128115.3</v>
      </c>
      <c r="I19" s="82">
        <f>$I$12*0.07</f>
        <v>0</v>
      </c>
      <c r="J19" s="85">
        <v>128115.3</v>
      </c>
    </row>
    <row r="20" spans="1:10" ht="20.25" customHeight="1">
      <c r="A20" s="26"/>
      <c r="B20" s="191" t="s">
        <v>31</v>
      </c>
      <c r="C20" s="191"/>
      <c r="D20" s="191"/>
      <c r="E20" s="86" t="s">
        <v>9</v>
      </c>
      <c r="F20" s="66" t="s">
        <v>10</v>
      </c>
      <c r="G20" s="63">
        <v>0.51</v>
      </c>
      <c r="H20" s="81">
        <f>ROUND(G20*$E$3*12,2)</f>
        <v>46035.25</v>
      </c>
      <c r="I20" s="82">
        <f>$I$12*0.04</f>
        <v>0</v>
      </c>
      <c r="J20" s="83">
        <f>SUM(H20:I20)</f>
        <v>46035.25</v>
      </c>
    </row>
    <row r="21" spans="1:10" ht="37.5" customHeight="1">
      <c r="A21" s="23"/>
      <c r="B21" s="187" t="s">
        <v>27</v>
      </c>
      <c r="C21" s="187"/>
      <c r="D21" s="187"/>
      <c r="E21" s="84" t="s">
        <v>113</v>
      </c>
      <c r="F21" s="65" t="s">
        <v>25</v>
      </c>
      <c r="G21" s="63">
        <v>0.12</v>
      </c>
      <c r="H21" s="81">
        <f>J21-I21</f>
        <v>7255.26</v>
      </c>
      <c r="I21" s="82">
        <f>$I$12*0.01</f>
        <v>0</v>
      </c>
      <c r="J21" s="85">
        <v>7255.26</v>
      </c>
    </row>
    <row r="22" spans="1:10" ht="20.25" customHeight="1">
      <c r="A22" s="26"/>
      <c r="B22" s="187" t="s">
        <v>11</v>
      </c>
      <c r="C22" s="187"/>
      <c r="D22" s="187"/>
      <c r="E22" s="84" t="s">
        <v>9</v>
      </c>
      <c r="F22" s="65" t="s">
        <v>12</v>
      </c>
      <c r="G22" s="63">
        <v>2.22</v>
      </c>
      <c r="H22" s="81">
        <f>J22-I22</f>
        <v>200388.744</v>
      </c>
      <c r="I22" s="82">
        <f>$I$12*0.15</f>
        <v>0</v>
      </c>
      <c r="J22" s="85">
        <f>G22*E3*12</f>
        <v>200388.744</v>
      </c>
    </row>
    <row r="23" spans="1:10" ht="31.5" customHeight="1">
      <c r="A23" s="26"/>
      <c r="B23" s="187" t="s">
        <v>26</v>
      </c>
      <c r="C23" s="180"/>
      <c r="D23" s="180"/>
      <c r="E23" s="87" t="s">
        <v>13</v>
      </c>
      <c r="F23" s="59" t="s">
        <v>14</v>
      </c>
      <c r="G23" s="63">
        <v>0.05</v>
      </c>
      <c r="H23" s="81">
        <f>J23-I23</f>
        <v>5594.4</v>
      </c>
      <c r="I23" s="82">
        <f>$I$12*0.003</f>
        <v>0</v>
      </c>
      <c r="J23" s="85">
        <v>5594.4</v>
      </c>
    </row>
    <row r="24" spans="1:10" ht="28.5" customHeight="1">
      <c r="A24" s="23"/>
      <c r="B24" s="187" t="s">
        <v>71</v>
      </c>
      <c r="C24" s="187"/>
      <c r="D24" s="187"/>
      <c r="E24" s="80" t="s">
        <v>35</v>
      </c>
      <c r="F24" s="46" t="s">
        <v>82</v>
      </c>
      <c r="G24" s="63">
        <v>2.15</v>
      </c>
      <c r="H24" s="81">
        <f aca="true" t="shared" si="0" ref="H24:H29">ROUND(G24*$E$3*12,2)</f>
        <v>194070.18</v>
      </c>
      <c r="I24" s="82">
        <f>$I$12*0.19</f>
        <v>0</v>
      </c>
      <c r="J24" s="83">
        <f aca="true" t="shared" si="1" ref="J24:J29">SUM(H24:I24)</f>
        <v>194070.18</v>
      </c>
    </row>
    <row r="25" spans="1:10" ht="26.25" customHeight="1">
      <c r="A25" s="23"/>
      <c r="B25" s="188" t="s">
        <v>15</v>
      </c>
      <c r="C25" s="188"/>
      <c r="D25" s="188"/>
      <c r="E25" s="80" t="s">
        <v>35</v>
      </c>
      <c r="F25" s="46" t="s">
        <v>82</v>
      </c>
      <c r="G25" s="63">
        <v>0.53</v>
      </c>
      <c r="H25" s="88">
        <f t="shared" si="0"/>
        <v>47840.56</v>
      </c>
      <c r="I25" s="82">
        <v>0</v>
      </c>
      <c r="J25" s="83">
        <f t="shared" si="1"/>
        <v>47840.56</v>
      </c>
    </row>
    <row r="26" spans="1:10" ht="30" customHeight="1">
      <c r="A26" s="23"/>
      <c r="B26" s="189" t="s">
        <v>36</v>
      </c>
      <c r="C26" s="185"/>
      <c r="D26" s="186"/>
      <c r="E26" s="80" t="s">
        <v>35</v>
      </c>
      <c r="F26" s="46" t="s">
        <v>82</v>
      </c>
      <c r="G26" s="48">
        <f>3.52-G27-G28</f>
        <v>3.23</v>
      </c>
      <c r="H26" s="88">
        <f t="shared" si="0"/>
        <v>291556.6</v>
      </c>
      <c r="I26" s="89">
        <f>$I$12*(0.18+0.02)</f>
        <v>0</v>
      </c>
      <c r="J26" s="83">
        <f t="shared" si="1"/>
        <v>291556.6</v>
      </c>
    </row>
    <row r="27" spans="1:10" ht="26.25" customHeight="1">
      <c r="A27" s="26"/>
      <c r="B27" s="187" t="s">
        <v>114</v>
      </c>
      <c r="C27" s="187"/>
      <c r="D27" s="187"/>
      <c r="E27" s="80" t="s">
        <v>35</v>
      </c>
      <c r="F27" s="46" t="s">
        <v>82</v>
      </c>
      <c r="G27" s="48">
        <v>0.29</v>
      </c>
      <c r="H27" s="88">
        <f t="shared" si="0"/>
        <v>26176.91</v>
      </c>
      <c r="I27" s="89">
        <f>$I$12*0.02</f>
        <v>0</v>
      </c>
      <c r="J27" s="83">
        <f t="shared" si="1"/>
        <v>26176.91</v>
      </c>
    </row>
    <row r="28" spans="1:10" ht="28.5" customHeight="1">
      <c r="A28" s="23"/>
      <c r="B28" s="187" t="s">
        <v>115</v>
      </c>
      <c r="C28" s="187"/>
      <c r="D28" s="187"/>
      <c r="E28" s="84" t="s">
        <v>9</v>
      </c>
      <c r="F28" s="46" t="s">
        <v>82</v>
      </c>
      <c r="G28" s="48">
        <v>0</v>
      </c>
      <c r="H28" s="88">
        <f t="shared" si="0"/>
        <v>0</v>
      </c>
      <c r="I28" s="89">
        <v>0</v>
      </c>
      <c r="J28" s="83">
        <f t="shared" si="1"/>
        <v>0</v>
      </c>
    </row>
    <row r="29" spans="1:10" ht="27" customHeight="1">
      <c r="A29" s="23"/>
      <c r="B29" s="180" t="s">
        <v>21</v>
      </c>
      <c r="C29" s="180"/>
      <c r="D29" s="180"/>
      <c r="E29" s="84" t="s">
        <v>35</v>
      </c>
      <c r="F29" s="46" t="s">
        <v>82</v>
      </c>
      <c r="G29" s="59">
        <v>1.45</v>
      </c>
      <c r="H29" s="81">
        <f t="shared" si="0"/>
        <v>130884.54</v>
      </c>
      <c r="I29" s="82">
        <f>$I$12*0.1</f>
        <v>0</v>
      </c>
      <c r="J29" s="83">
        <f t="shared" si="1"/>
        <v>130884.54</v>
      </c>
    </row>
    <row r="30" spans="1:10" ht="15.75">
      <c r="A30" s="23"/>
      <c r="B30" s="184"/>
      <c r="C30" s="185"/>
      <c r="D30" s="186"/>
      <c r="E30" s="84"/>
      <c r="F30" s="46"/>
      <c r="G30" s="59"/>
      <c r="H30" s="88"/>
      <c r="I30" s="77"/>
      <c r="J30" s="90"/>
    </row>
    <row r="31" spans="1:10" ht="15.75">
      <c r="A31" s="23"/>
      <c r="B31" s="184"/>
      <c r="C31" s="185"/>
      <c r="D31" s="186"/>
      <c r="E31" s="84"/>
      <c r="F31" s="46"/>
      <c r="G31" s="59"/>
      <c r="H31" s="88"/>
      <c r="I31" s="77"/>
      <c r="J31" s="90"/>
    </row>
    <row r="32" spans="1:10" ht="15.75">
      <c r="A32" s="23"/>
      <c r="B32" s="177" t="s">
        <v>30</v>
      </c>
      <c r="C32" s="177"/>
      <c r="D32" s="177"/>
      <c r="E32" s="14"/>
      <c r="F32" s="46"/>
      <c r="G32" s="21">
        <f>SUM(G17:G29)</f>
        <v>13.039999999999997</v>
      </c>
      <c r="H32" s="40">
        <f>SUM(H17:H31)</f>
        <v>1213315.544</v>
      </c>
      <c r="I32" s="91">
        <f>SUM(I17:I31)</f>
        <v>0</v>
      </c>
      <c r="J32" s="40">
        <f>SUM(J17:J31)</f>
        <v>1213315.544</v>
      </c>
    </row>
    <row r="33" spans="1:10" ht="21.75" customHeight="1">
      <c r="A33" s="23"/>
      <c r="B33" s="181" t="s">
        <v>116</v>
      </c>
      <c r="C33" s="182"/>
      <c r="D33" s="183"/>
      <c r="E33" s="84" t="s">
        <v>9</v>
      </c>
      <c r="F33" s="46"/>
      <c r="G33" s="59"/>
      <c r="H33" s="88"/>
      <c r="I33" s="77"/>
      <c r="J33" s="90"/>
    </row>
    <row r="34" spans="1:10" ht="27" customHeight="1">
      <c r="A34" s="23"/>
      <c r="B34" s="181" t="s">
        <v>117</v>
      </c>
      <c r="C34" s="182"/>
      <c r="D34" s="183"/>
      <c r="E34" s="80" t="s">
        <v>35</v>
      </c>
      <c r="F34" s="46"/>
      <c r="G34" s="59"/>
      <c r="H34" s="88"/>
      <c r="I34" s="77"/>
      <c r="J34" s="90"/>
    </row>
    <row r="35" spans="1:10" ht="15.75">
      <c r="A35" s="23"/>
      <c r="B35" s="184"/>
      <c r="C35" s="185"/>
      <c r="D35" s="186"/>
      <c r="E35" s="84"/>
      <c r="F35" s="46"/>
      <c r="G35" s="59"/>
      <c r="H35" s="88"/>
      <c r="I35" s="77"/>
      <c r="J35" s="90"/>
    </row>
    <row r="36" spans="1:10" ht="15" customHeight="1">
      <c r="A36" s="23" t="s">
        <v>118</v>
      </c>
      <c r="B36" s="146" t="s">
        <v>119</v>
      </c>
      <c r="C36" s="147"/>
      <c r="D36" s="147"/>
      <c r="E36" s="148"/>
      <c r="F36" s="46" t="s">
        <v>82</v>
      </c>
      <c r="G36" s="24">
        <f>H36/E3/12</f>
        <v>1.411241541590779</v>
      </c>
      <c r="H36" s="28">
        <v>127386</v>
      </c>
      <c r="I36" s="92">
        <v>0</v>
      </c>
      <c r="J36" s="78">
        <f>SUM(H36:I36)</f>
        <v>127386</v>
      </c>
    </row>
    <row r="37" spans="1:10" ht="14.25" customHeight="1">
      <c r="A37" s="25"/>
      <c r="B37" s="158" t="s">
        <v>69</v>
      </c>
      <c r="C37" s="158"/>
      <c r="D37" s="158"/>
      <c r="E37" s="158"/>
      <c r="F37" s="158"/>
      <c r="G37" s="5">
        <f>SUM(G32:G36)</f>
        <v>14.451241541590777</v>
      </c>
      <c r="H37" s="41">
        <f>SUM(H32:H36)</f>
        <v>1340701.544</v>
      </c>
      <c r="I37" s="93">
        <f>SUM(I32:I36)</f>
        <v>0</v>
      </c>
      <c r="J37" s="41">
        <f>SUM(J32:J36)</f>
        <v>1340701.544</v>
      </c>
    </row>
    <row r="38" spans="1:10" ht="15.75">
      <c r="A38" s="23" t="s">
        <v>120</v>
      </c>
      <c r="B38" s="157" t="s">
        <v>121</v>
      </c>
      <c r="C38" s="157"/>
      <c r="D38" s="157"/>
      <c r="E38" s="157"/>
      <c r="F38" s="157"/>
      <c r="G38" s="94"/>
      <c r="H38" s="95">
        <v>422697</v>
      </c>
      <c r="I38" s="95">
        <v>0</v>
      </c>
      <c r="J38" s="96">
        <f>SUM(H38:I38)</f>
        <v>422697</v>
      </c>
    </row>
    <row r="39" spans="1:10" ht="15" customHeight="1">
      <c r="A39" s="25"/>
      <c r="B39" s="158" t="s">
        <v>122</v>
      </c>
      <c r="C39" s="158"/>
      <c r="D39" s="158"/>
      <c r="E39" s="158"/>
      <c r="F39" s="158"/>
      <c r="G39" s="5">
        <f>SUM(G37:G38)</f>
        <v>14.451241541590777</v>
      </c>
      <c r="H39" s="41">
        <f>SUM(H37:H38)</f>
        <v>1763398.544</v>
      </c>
      <c r="I39" s="93">
        <f>SUM(I37:I38)</f>
        <v>0</v>
      </c>
      <c r="J39" s="41">
        <f>SUM(J37:J38)</f>
        <v>1763398.544</v>
      </c>
    </row>
    <row r="40" spans="1:10" ht="15.75" customHeight="1">
      <c r="A40" s="23">
        <v>3</v>
      </c>
      <c r="B40" s="149" t="s">
        <v>136</v>
      </c>
      <c r="C40" s="150"/>
      <c r="D40" s="150"/>
      <c r="E40" s="150"/>
      <c r="F40" s="150"/>
      <c r="G40" s="151"/>
      <c r="H40" s="97">
        <f>H14-H39</f>
        <v>-449431.314</v>
      </c>
      <c r="I40" s="81">
        <f>I14-I39</f>
        <v>0</v>
      </c>
      <c r="J40" s="98">
        <f>J14-J39</f>
        <v>-449431.314</v>
      </c>
    </row>
    <row r="41" spans="2:6" ht="15.75">
      <c r="B41" s="34"/>
      <c r="F41" s="34"/>
    </row>
    <row r="42" spans="2:6" ht="15.75">
      <c r="B42" s="34" t="s">
        <v>78</v>
      </c>
      <c r="C42" s="34"/>
      <c r="D42" s="34"/>
      <c r="E42" s="34"/>
      <c r="F42" s="34"/>
    </row>
    <row r="43" spans="2:4" ht="15.75">
      <c r="B43" s="34"/>
      <c r="C43" s="34"/>
      <c r="D43" s="34"/>
    </row>
    <row r="44" spans="2:5" ht="15.75" customHeight="1">
      <c r="B44" s="34" t="s">
        <v>137</v>
      </c>
      <c r="C44" s="34"/>
      <c r="D44" s="34"/>
      <c r="E44" s="34"/>
    </row>
    <row r="45" spans="2:4" ht="15.75" customHeight="1">
      <c r="B45" s="160" t="s">
        <v>87</v>
      </c>
      <c r="C45" s="160"/>
      <c r="D45" s="160"/>
    </row>
  </sheetData>
  <sheetProtection/>
  <mergeCells count="37">
    <mergeCell ref="B38:F38"/>
    <mergeCell ref="B36:E36"/>
    <mergeCell ref="B37:F37"/>
    <mergeCell ref="B33:D33"/>
    <mergeCell ref="B34:D34"/>
    <mergeCell ref="B35:D35"/>
    <mergeCell ref="B39:F39"/>
    <mergeCell ref="B40:G40"/>
    <mergeCell ref="B45:D45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.15748031496062992" right="0" top="0" bottom="0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31" sqref="G31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125" style="0" customWidth="1"/>
    <col min="6" max="6" width="7.875" style="0" hidden="1" customWidth="1"/>
    <col min="7" max="7" width="7.375" style="0" hidden="1" customWidth="1"/>
    <col min="8" max="8" width="12.375" style="0" customWidth="1"/>
    <col min="9" max="9" width="9.875" style="0" bestFit="1" customWidth="1"/>
  </cols>
  <sheetData>
    <row r="1" spans="1:8" ht="121.5" customHeight="1">
      <c r="A1" s="159" t="s">
        <v>140</v>
      </c>
      <c r="B1" s="159"/>
      <c r="C1" s="159"/>
      <c r="D1" s="159"/>
      <c r="E1" s="159"/>
      <c r="F1" s="159"/>
      <c r="G1" s="159"/>
      <c r="H1" s="159"/>
    </row>
    <row r="2" spans="1:6" ht="18.75">
      <c r="A2" s="1" t="s">
        <v>77</v>
      </c>
      <c r="B2" s="1" t="s">
        <v>85</v>
      </c>
      <c r="C2" s="2"/>
      <c r="D2" s="2" t="s">
        <v>0</v>
      </c>
      <c r="E2" s="4">
        <v>7522.1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83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00" t="s">
        <v>60</v>
      </c>
      <c r="B6" s="203" t="s">
        <v>100</v>
      </c>
      <c r="C6" s="204"/>
      <c r="D6" s="205"/>
      <c r="E6" s="55" t="s">
        <v>6</v>
      </c>
      <c r="F6" s="55" t="s">
        <v>7</v>
      </c>
      <c r="G6" s="101" t="s">
        <v>124</v>
      </c>
      <c r="H6" s="102" t="s">
        <v>92</v>
      </c>
    </row>
    <row r="7" spans="1:8" ht="15.75" customHeight="1">
      <c r="A7" s="56">
        <v>1</v>
      </c>
      <c r="B7" s="206" t="s">
        <v>93</v>
      </c>
      <c r="C7" s="206"/>
      <c r="D7" s="206"/>
      <c r="E7" s="206"/>
      <c r="F7" s="206"/>
      <c r="G7" s="57"/>
      <c r="H7" s="58"/>
    </row>
    <row r="8" spans="1:8" ht="15.75" customHeight="1">
      <c r="A8" s="56"/>
      <c r="B8" s="170" t="s">
        <v>125</v>
      </c>
      <c r="C8" s="170"/>
      <c r="D8" s="170"/>
      <c r="E8" s="170"/>
      <c r="F8" s="170"/>
      <c r="G8" s="24">
        <f>G31</f>
        <v>14.920000000000002</v>
      </c>
      <c r="H8" s="58">
        <f>ROUND($E$2*G8*12,0)</f>
        <v>1346757</v>
      </c>
    </row>
    <row r="9" spans="1:8" ht="15.75" customHeight="1">
      <c r="A9" s="56"/>
      <c r="B9" s="208" t="s">
        <v>94</v>
      </c>
      <c r="C9" s="208"/>
      <c r="D9" s="208"/>
      <c r="E9" s="208"/>
      <c r="F9" s="208"/>
      <c r="G9" s="23">
        <v>0.78</v>
      </c>
      <c r="H9" s="58">
        <f>ROUND($E$2*G9*12,0)</f>
        <v>70407</v>
      </c>
    </row>
    <row r="10" spans="1:8" ht="15.75" customHeight="1">
      <c r="A10" s="56">
        <v>2</v>
      </c>
      <c r="B10" s="171" t="s">
        <v>65</v>
      </c>
      <c r="C10" s="171"/>
      <c r="D10" s="171"/>
      <c r="E10" s="171"/>
      <c r="F10" s="171"/>
      <c r="G10" s="59"/>
      <c r="H10" s="58"/>
    </row>
    <row r="11" spans="1:8" ht="18.75" customHeight="1">
      <c r="A11" s="56" t="s">
        <v>111</v>
      </c>
      <c r="B11" s="19" t="s">
        <v>66</v>
      </c>
      <c r="C11" s="19"/>
      <c r="D11" s="19"/>
      <c r="E11" s="19"/>
      <c r="F11" s="5"/>
      <c r="G11" s="60"/>
      <c r="H11" s="58"/>
    </row>
    <row r="12" spans="1:8" ht="30.75" customHeight="1">
      <c r="A12" s="61"/>
      <c r="B12" s="207" t="s">
        <v>133</v>
      </c>
      <c r="C12" s="207"/>
      <c r="D12" s="207"/>
      <c r="E12" s="80" t="s">
        <v>32</v>
      </c>
      <c r="F12" s="62" t="s">
        <v>24</v>
      </c>
      <c r="G12" s="63">
        <v>1.26</v>
      </c>
      <c r="H12" s="64">
        <f aca="true" t="shared" si="0" ref="H12:H31">ROUND($E$2*G12*12,0)</f>
        <v>113734</v>
      </c>
    </row>
    <row r="13" spans="1:9" ht="15.75" customHeight="1">
      <c r="A13" s="61"/>
      <c r="B13" s="207" t="s">
        <v>17</v>
      </c>
      <c r="C13" s="207"/>
      <c r="D13" s="207"/>
      <c r="E13" s="80" t="s">
        <v>32</v>
      </c>
      <c r="F13" s="62" t="s">
        <v>19</v>
      </c>
      <c r="G13" s="63">
        <v>0.29</v>
      </c>
      <c r="H13" s="64">
        <f t="shared" si="0"/>
        <v>26177</v>
      </c>
      <c r="I13" s="31"/>
    </row>
    <row r="14" spans="1:8" ht="18.75" customHeight="1">
      <c r="A14" s="61"/>
      <c r="B14" s="209" t="s">
        <v>23</v>
      </c>
      <c r="C14" s="209"/>
      <c r="D14" s="209"/>
      <c r="E14" s="84" t="s">
        <v>112</v>
      </c>
      <c r="F14" s="65" t="s">
        <v>20</v>
      </c>
      <c r="G14" s="63">
        <v>1.02</v>
      </c>
      <c r="H14" s="64">
        <f t="shared" si="0"/>
        <v>92071</v>
      </c>
    </row>
    <row r="15" spans="1:8" ht="15.75" customHeight="1">
      <c r="A15" s="61"/>
      <c r="B15" s="211" t="s">
        <v>31</v>
      </c>
      <c r="C15" s="211"/>
      <c r="D15" s="211"/>
      <c r="E15" s="86" t="s">
        <v>9</v>
      </c>
      <c r="F15" s="66" t="s">
        <v>10</v>
      </c>
      <c r="G15" s="63">
        <v>0.53</v>
      </c>
      <c r="H15" s="64">
        <f t="shared" si="0"/>
        <v>47841</v>
      </c>
    </row>
    <row r="16" spans="1:8" ht="31.5" customHeight="1">
      <c r="A16" s="61"/>
      <c r="B16" s="209" t="s">
        <v>27</v>
      </c>
      <c r="C16" s="209"/>
      <c r="D16" s="209"/>
      <c r="E16" s="84" t="s">
        <v>113</v>
      </c>
      <c r="F16" s="65" t="s">
        <v>25</v>
      </c>
      <c r="G16" s="63">
        <v>0.12</v>
      </c>
      <c r="H16" s="64">
        <f t="shared" si="0"/>
        <v>10832</v>
      </c>
    </row>
    <row r="17" spans="1:8" ht="15.75" customHeight="1">
      <c r="A17" s="61"/>
      <c r="B17" s="209" t="s">
        <v>11</v>
      </c>
      <c r="C17" s="209"/>
      <c r="D17" s="209"/>
      <c r="E17" s="84" t="s">
        <v>9</v>
      </c>
      <c r="F17" s="65" t="s">
        <v>12</v>
      </c>
      <c r="G17" s="63">
        <v>2.29</v>
      </c>
      <c r="H17" s="64">
        <f t="shared" si="0"/>
        <v>206707</v>
      </c>
    </row>
    <row r="18" spans="1:8" ht="15.75" customHeight="1">
      <c r="A18" s="61"/>
      <c r="B18" s="209" t="s">
        <v>26</v>
      </c>
      <c r="C18" s="210"/>
      <c r="D18" s="210"/>
      <c r="E18" s="87" t="s">
        <v>13</v>
      </c>
      <c r="F18" s="59" t="s">
        <v>95</v>
      </c>
      <c r="G18" s="63">
        <v>0.05</v>
      </c>
      <c r="H18" s="64">
        <f t="shared" si="0"/>
        <v>4513</v>
      </c>
    </row>
    <row r="19" spans="1:8" ht="33" customHeight="1">
      <c r="A19" s="61"/>
      <c r="B19" s="209" t="s">
        <v>71</v>
      </c>
      <c r="C19" s="209"/>
      <c r="D19" s="209"/>
      <c r="E19" s="80" t="s">
        <v>35</v>
      </c>
      <c r="F19" s="65" t="s">
        <v>82</v>
      </c>
      <c r="G19" s="63">
        <v>2.21</v>
      </c>
      <c r="H19" s="64">
        <f t="shared" si="0"/>
        <v>199486</v>
      </c>
    </row>
    <row r="20" spans="1:8" ht="51">
      <c r="A20" s="61"/>
      <c r="B20" s="207" t="s">
        <v>15</v>
      </c>
      <c r="C20" s="207"/>
      <c r="D20" s="207"/>
      <c r="E20" s="80" t="s">
        <v>96</v>
      </c>
      <c r="F20" s="65" t="s">
        <v>82</v>
      </c>
      <c r="G20" s="63">
        <v>0.55</v>
      </c>
      <c r="H20" s="64">
        <f t="shared" si="0"/>
        <v>49646</v>
      </c>
    </row>
    <row r="21" spans="1:8" ht="34.5" customHeight="1">
      <c r="A21" s="61"/>
      <c r="B21" s="209" t="s">
        <v>36</v>
      </c>
      <c r="C21" s="210"/>
      <c r="D21" s="210"/>
      <c r="E21" s="80" t="s">
        <v>35</v>
      </c>
      <c r="F21" s="65" t="s">
        <v>82</v>
      </c>
      <c r="G21" s="63">
        <f>3.62-G22-G23</f>
        <v>3.3200000000000003</v>
      </c>
      <c r="H21" s="64">
        <f t="shared" si="0"/>
        <v>299680</v>
      </c>
    </row>
    <row r="22" spans="1:8" ht="24" customHeight="1">
      <c r="A22" s="61"/>
      <c r="B22" s="209" t="s">
        <v>126</v>
      </c>
      <c r="C22" s="209"/>
      <c r="D22" s="209"/>
      <c r="E22" s="84" t="s">
        <v>9</v>
      </c>
      <c r="F22" s="65" t="s">
        <v>82</v>
      </c>
      <c r="G22" s="63">
        <v>0.3</v>
      </c>
      <c r="H22" s="64">
        <f t="shared" si="0"/>
        <v>27080</v>
      </c>
    </row>
    <row r="23" spans="1:8" ht="27.75" customHeight="1">
      <c r="A23" s="61"/>
      <c r="B23" s="209" t="s">
        <v>115</v>
      </c>
      <c r="C23" s="209"/>
      <c r="D23" s="209"/>
      <c r="E23" s="84" t="s">
        <v>9</v>
      </c>
      <c r="F23" s="65" t="s">
        <v>82</v>
      </c>
      <c r="G23" s="63">
        <v>0</v>
      </c>
      <c r="H23" s="64">
        <f t="shared" si="0"/>
        <v>0</v>
      </c>
    </row>
    <row r="24" spans="1:8" ht="33" customHeight="1">
      <c r="A24" s="61"/>
      <c r="B24" s="210" t="s">
        <v>21</v>
      </c>
      <c r="C24" s="210"/>
      <c r="D24" s="210"/>
      <c r="E24" s="80" t="s">
        <v>35</v>
      </c>
      <c r="F24" s="65" t="s">
        <v>82</v>
      </c>
      <c r="G24" s="63">
        <v>1.49</v>
      </c>
      <c r="H24" s="64">
        <f t="shared" si="0"/>
        <v>134495</v>
      </c>
    </row>
    <row r="25" spans="1:8" ht="15.75">
      <c r="A25" s="23"/>
      <c r="B25" s="181" t="s">
        <v>116</v>
      </c>
      <c r="C25" s="182"/>
      <c r="D25" s="183"/>
      <c r="E25" s="84" t="s">
        <v>9</v>
      </c>
      <c r="F25" s="65"/>
      <c r="G25" s="63"/>
      <c r="H25" s="64"/>
    </row>
    <row r="26" spans="1:8" ht="31.5" customHeight="1">
      <c r="A26" s="23"/>
      <c r="B26" s="181" t="s">
        <v>117</v>
      </c>
      <c r="C26" s="182"/>
      <c r="D26" s="183"/>
      <c r="E26" s="80" t="s">
        <v>35</v>
      </c>
      <c r="F26" s="65"/>
      <c r="G26" s="63"/>
      <c r="H26" s="64"/>
    </row>
    <row r="27" spans="1:8" ht="15.75" customHeight="1">
      <c r="A27" s="61"/>
      <c r="B27" s="184"/>
      <c r="C27" s="185"/>
      <c r="D27" s="186"/>
      <c r="E27" s="80"/>
      <c r="F27" s="65"/>
      <c r="G27" s="63"/>
      <c r="H27" s="64"/>
    </row>
    <row r="28" spans="1:8" ht="15.75">
      <c r="A28" s="61"/>
      <c r="B28" s="184"/>
      <c r="C28" s="185"/>
      <c r="D28" s="186"/>
      <c r="E28" s="80"/>
      <c r="F28" s="65"/>
      <c r="G28" s="63"/>
      <c r="H28" s="64"/>
    </row>
    <row r="29" spans="1:8" ht="15.75">
      <c r="A29" s="61"/>
      <c r="B29" s="212" t="s">
        <v>30</v>
      </c>
      <c r="C29" s="213"/>
      <c r="D29" s="214"/>
      <c r="E29" s="14"/>
      <c r="F29" s="65"/>
      <c r="G29" s="21">
        <f>SUM(G12:G28)</f>
        <v>13.430000000000001</v>
      </c>
      <c r="H29" s="64">
        <f t="shared" si="0"/>
        <v>1212262</v>
      </c>
    </row>
    <row r="30" spans="1:8" ht="21" customHeight="1">
      <c r="A30" s="56" t="s">
        <v>118</v>
      </c>
      <c r="B30" s="146" t="s">
        <v>127</v>
      </c>
      <c r="C30" s="147"/>
      <c r="D30" s="147"/>
      <c r="E30" s="148"/>
      <c r="F30" s="50" t="s">
        <v>97</v>
      </c>
      <c r="G30" s="24">
        <v>1.49</v>
      </c>
      <c r="H30" s="64">
        <v>834000</v>
      </c>
    </row>
    <row r="31" spans="1:8" ht="15.75" customHeight="1">
      <c r="A31" s="56"/>
      <c r="B31" s="199" t="s">
        <v>128</v>
      </c>
      <c r="C31" s="199"/>
      <c r="D31" s="199"/>
      <c r="E31" s="199"/>
      <c r="F31" s="199"/>
      <c r="G31" s="21">
        <f>SUM(G29:G30)</f>
        <v>14.920000000000002</v>
      </c>
      <c r="H31" s="103">
        <f t="shared" si="0"/>
        <v>1346757</v>
      </c>
    </row>
    <row r="32" spans="1:8" ht="19.5" customHeight="1" thickBot="1">
      <c r="A32" s="104">
        <v>3</v>
      </c>
      <c r="B32" s="200" t="s">
        <v>138</v>
      </c>
      <c r="C32" s="201"/>
      <c r="D32" s="202"/>
      <c r="E32" s="105"/>
      <c r="F32" s="106" t="s">
        <v>97</v>
      </c>
      <c r="G32" s="107">
        <v>0.78</v>
      </c>
      <c r="H32" s="108">
        <f>ROUND($E$2*G32*12,0)</f>
        <v>70407</v>
      </c>
    </row>
    <row r="33" spans="2:7" ht="53.25" customHeight="1">
      <c r="B33" s="215" t="s">
        <v>139</v>
      </c>
      <c r="C33" s="215"/>
      <c r="D33" s="215"/>
      <c r="E33" s="215"/>
      <c r="F33" s="67"/>
      <c r="G33" s="68"/>
    </row>
    <row r="34" spans="2:7" ht="15.75" customHeight="1">
      <c r="B34" s="109"/>
      <c r="C34" s="109"/>
      <c r="D34" s="109"/>
      <c r="E34" s="109"/>
      <c r="F34" s="67"/>
      <c r="G34" s="68"/>
    </row>
    <row r="35" spans="1:8" ht="15.75">
      <c r="A35" s="34" t="s">
        <v>78</v>
      </c>
      <c r="B35" s="34"/>
      <c r="C35" s="34"/>
      <c r="D35" s="34"/>
      <c r="E35" s="34"/>
      <c r="F35" s="34"/>
      <c r="G35" s="34"/>
      <c r="H35" s="68"/>
    </row>
  </sheetData>
  <sheetProtection/>
  <mergeCells count="28">
    <mergeCell ref="B31:F31"/>
    <mergeCell ref="B32:D32"/>
    <mergeCell ref="B26:D26"/>
    <mergeCell ref="B27:D27"/>
    <mergeCell ref="B28:D28"/>
    <mergeCell ref="B29:D29"/>
    <mergeCell ref="B19:D19"/>
    <mergeCell ref="B20:D20"/>
    <mergeCell ref="B21:D21"/>
    <mergeCell ref="B22:D22"/>
    <mergeCell ref="B33:E33"/>
    <mergeCell ref="A1:H1"/>
    <mergeCell ref="B6:D6"/>
    <mergeCell ref="B7:F7"/>
    <mergeCell ref="B8:F8"/>
    <mergeCell ref="B9:F9"/>
    <mergeCell ref="B23:D23"/>
    <mergeCell ref="B24:D24"/>
    <mergeCell ref="B25:D25"/>
    <mergeCell ref="B30:E30"/>
    <mergeCell ref="B15:D15"/>
    <mergeCell ref="B16:D16"/>
    <mergeCell ref="B17:D17"/>
    <mergeCell ref="B18:D18"/>
    <mergeCell ref="B10:F10"/>
    <mergeCell ref="B12:D12"/>
    <mergeCell ref="B13:D13"/>
    <mergeCell ref="B14:D14"/>
  </mergeCells>
  <printOptions/>
  <pageMargins left="0.35433070866141736" right="0" top="0" bottom="0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8">
      <selection activeCell="G16" sqref="G16:G28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7.00390625" style="0" customWidth="1"/>
    <col min="6" max="6" width="20.375" style="0" hidden="1" customWidth="1"/>
    <col min="7" max="7" width="11.25390625" style="0" customWidth="1"/>
    <col min="8" max="8" width="12.75390625" style="0" customWidth="1"/>
  </cols>
  <sheetData>
    <row r="1" spans="4:8" ht="75.75" customHeight="1">
      <c r="D1" s="216" t="s">
        <v>141</v>
      </c>
      <c r="E1" s="216"/>
      <c r="F1" s="216"/>
      <c r="G1" s="216"/>
      <c r="H1" s="216"/>
    </row>
    <row r="2" spans="4:8" ht="15.75">
      <c r="D2" s="110"/>
      <c r="E2" s="110"/>
      <c r="F2" s="110"/>
      <c r="G2" s="110"/>
      <c r="H2" s="110"/>
    </row>
    <row r="3" spans="4:8" ht="16.5" customHeight="1">
      <c r="D3" s="110"/>
      <c r="E3" s="110"/>
      <c r="F3" s="110"/>
      <c r="G3" s="110"/>
      <c r="H3" s="110"/>
    </row>
    <row r="4" spans="1:8" ht="16.5" customHeight="1">
      <c r="A4" s="217" t="s">
        <v>142</v>
      </c>
      <c r="B4" s="217"/>
      <c r="C4" s="217"/>
      <c r="D4" s="217"/>
      <c r="E4" s="217"/>
      <c r="F4" s="217"/>
      <c r="G4" s="217"/>
      <c r="H4" s="217"/>
    </row>
    <row r="5" spans="1:7" ht="16.5" customHeight="1">
      <c r="A5" s="111"/>
      <c r="B5" s="111"/>
      <c r="C5" s="111"/>
      <c r="D5" s="111"/>
      <c r="E5" s="111"/>
      <c r="F5" s="111"/>
      <c r="G5" s="111"/>
    </row>
    <row r="6" spans="1:7" ht="21" customHeight="1">
      <c r="A6" s="111"/>
      <c r="B6" s="218" t="s">
        <v>161</v>
      </c>
      <c r="C6" s="218"/>
      <c r="D6" s="218"/>
      <c r="E6" s="218"/>
      <c r="F6" s="111"/>
      <c r="G6" s="111"/>
    </row>
    <row r="7" spans="1:7" ht="21" customHeight="1">
      <c r="A7" s="111"/>
      <c r="B7" s="112"/>
      <c r="C7" s="112"/>
      <c r="D7" s="112"/>
      <c r="E7" s="112"/>
      <c r="F7" s="111"/>
      <c r="G7" s="111"/>
    </row>
    <row r="8" spans="2:6" ht="18.75">
      <c r="B8" s="1" t="s">
        <v>158</v>
      </c>
      <c r="C8" s="2"/>
      <c r="D8" s="2" t="s">
        <v>0</v>
      </c>
      <c r="E8" s="113">
        <v>7491.9</v>
      </c>
      <c r="F8" s="2"/>
    </row>
    <row r="9" spans="2:6" ht="15.75">
      <c r="B9" s="3" t="s">
        <v>1</v>
      </c>
      <c r="C9" s="114">
        <v>9</v>
      </c>
      <c r="D9" s="2" t="s">
        <v>2</v>
      </c>
      <c r="E9" s="115">
        <v>144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83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100" t="s">
        <v>60</v>
      </c>
      <c r="B12" s="219" t="s">
        <v>100</v>
      </c>
      <c r="C12" s="219"/>
      <c r="D12" s="219"/>
      <c r="E12" s="55" t="s">
        <v>6</v>
      </c>
      <c r="F12" s="55" t="s">
        <v>7</v>
      </c>
      <c r="G12" s="116" t="s">
        <v>162</v>
      </c>
      <c r="H12" s="117" t="s">
        <v>163</v>
      </c>
    </row>
    <row r="13" spans="1:8" ht="25.5">
      <c r="A13" s="118">
        <v>1</v>
      </c>
      <c r="B13" s="193">
        <v>2</v>
      </c>
      <c r="C13" s="194"/>
      <c r="D13" s="220"/>
      <c r="E13" s="119">
        <v>3</v>
      </c>
      <c r="F13" s="120"/>
      <c r="G13" s="121">
        <v>4</v>
      </c>
      <c r="H13" s="122" t="s">
        <v>164</v>
      </c>
    </row>
    <row r="14" spans="1:8" ht="18.75">
      <c r="A14" s="56" t="s">
        <v>89</v>
      </c>
      <c r="B14" s="171" t="s">
        <v>65</v>
      </c>
      <c r="C14" s="171"/>
      <c r="D14" s="171"/>
      <c r="E14" s="171"/>
      <c r="F14" s="171"/>
      <c r="G14" s="59"/>
      <c r="H14" s="64"/>
    </row>
    <row r="15" spans="1:8" ht="15.75">
      <c r="A15" s="56" t="s">
        <v>143</v>
      </c>
      <c r="B15" s="19" t="s">
        <v>66</v>
      </c>
      <c r="C15" s="19"/>
      <c r="D15" s="19"/>
      <c r="E15" s="19"/>
      <c r="F15" s="5"/>
      <c r="G15" s="14"/>
      <c r="H15" s="64"/>
    </row>
    <row r="16" spans="1:8" ht="32.25" customHeight="1">
      <c r="A16" s="123"/>
      <c r="B16" s="207" t="s">
        <v>144</v>
      </c>
      <c r="C16" s="207"/>
      <c r="D16" s="207"/>
      <c r="E16" s="124" t="s">
        <v>32</v>
      </c>
      <c r="F16" s="62" t="s">
        <v>24</v>
      </c>
      <c r="G16" s="63">
        <v>1.29</v>
      </c>
      <c r="H16" s="64">
        <f aca="true" t="shared" si="0" ref="H16:H28">ROUND(G16*$E$8*4,0)</f>
        <v>38658</v>
      </c>
    </row>
    <row r="17" spans="1:8" ht="15.75" customHeight="1">
      <c r="A17" s="123"/>
      <c r="B17" s="207" t="s">
        <v>17</v>
      </c>
      <c r="C17" s="207"/>
      <c r="D17" s="207"/>
      <c r="E17" s="124" t="s">
        <v>32</v>
      </c>
      <c r="F17" s="62" t="s">
        <v>19</v>
      </c>
      <c r="G17" s="63">
        <v>0.3</v>
      </c>
      <c r="H17" s="64">
        <f t="shared" si="0"/>
        <v>8990</v>
      </c>
    </row>
    <row r="18" spans="1:8" ht="16.5" customHeight="1">
      <c r="A18" s="123"/>
      <c r="B18" s="209" t="s">
        <v>23</v>
      </c>
      <c r="C18" s="209"/>
      <c r="D18" s="209"/>
      <c r="E18" s="84" t="s">
        <v>112</v>
      </c>
      <c r="F18" s="65" t="s">
        <v>20</v>
      </c>
      <c r="G18" s="63">
        <v>1.05</v>
      </c>
      <c r="H18" s="64">
        <f t="shared" si="0"/>
        <v>31466</v>
      </c>
    </row>
    <row r="19" spans="1:8" ht="15.75">
      <c r="A19" s="123"/>
      <c r="B19" s="211" t="s">
        <v>31</v>
      </c>
      <c r="C19" s="211"/>
      <c r="D19" s="211"/>
      <c r="E19" s="125" t="s">
        <v>9</v>
      </c>
      <c r="F19" s="66" t="s">
        <v>10</v>
      </c>
      <c r="G19" s="63">
        <v>0.54</v>
      </c>
      <c r="H19" s="64">
        <f t="shared" si="0"/>
        <v>16183</v>
      </c>
    </row>
    <row r="20" spans="1:8" ht="51">
      <c r="A20" s="123"/>
      <c r="B20" s="209" t="s">
        <v>27</v>
      </c>
      <c r="C20" s="209"/>
      <c r="D20" s="209"/>
      <c r="E20" s="126" t="s">
        <v>34</v>
      </c>
      <c r="F20" s="65" t="s">
        <v>25</v>
      </c>
      <c r="G20" s="63">
        <v>0.13</v>
      </c>
      <c r="H20" s="64">
        <f t="shared" si="0"/>
        <v>3896</v>
      </c>
    </row>
    <row r="21" spans="1:8" ht="30.75" customHeight="1">
      <c r="A21" s="123"/>
      <c r="B21" s="209" t="s">
        <v>11</v>
      </c>
      <c r="C21" s="209"/>
      <c r="D21" s="209"/>
      <c r="E21" s="126" t="s">
        <v>9</v>
      </c>
      <c r="F21" s="65" t="s">
        <v>12</v>
      </c>
      <c r="G21" s="63">
        <v>2.35</v>
      </c>
      <c r="H21" s="64">
        <f t="shared" si="0"/>
        <v>70424</v>
      </c>
    </row>
    <row r="22" spans="1:8" ht="15.75" customHeight="1">
      <c r="A22" s="123"/>
      <c r="B22" s="209" t="s">
        <v>26</v>
      </c>
      <c r="C22" s="210"/>
      <c r="D22" s="210"/>
      <c r="E22" s="127" t="s">
        <v>13</v>
      </c>
      <c r="F22" s="59" t="s">
        <v>14</v>
      </c>
      <c r="G22" s="63">
        <v>0.05</v>
      </c>
      <c r="H22" s="64">
        <f t="shared" si="0"/>
        <v>1498</v>
      </c>
    </row>
    <row r="23" spans="1:8" ht="51">
      <c r="A23" s="123"/>
      <c r="B23" s="209" t="s">
        <v>145</v>
      </c>
      <c r="C23" s="209"/>
      <c r="D23" s="209"/>
      <c r="E23" s="80" t="s">
        <v>146</v>
      </c>
      <c r="F23" s="65" t="s">
        <v>147</v>
      </c>
      <c r="G23" s="63">
        <v>1.63</v>
      </c>
      <c r="H23" s="64">
        <f t="shared" si="0"/>
        <v>48847</v>
      </c>
    </row>
    <row r="24" spans="1:8" ht="51">
      <c r="A24" s="123"/>
      <c r="B24" s="207" t="s">
        <v>15</v>
      </c>
      <c r="C24" s="207"/>
      <c r="D24" s="207"/>
      <c r="E24" s="124" t="s">
        <v>96</v>
      </c>
      <c r="F24" s="65" t="s">
        <v>147</v>
      </c>
      <c r="G24" s="63">
        <v>0.56</v>
      </c>
      <c r="H24" s="64">
        <f t="shared" si="0"/>
        <v>16782</v>
      </c>
    </row>
    <row r="25" spans="1:8" ht="31.5" customHeight="1">
      <c r="A25" s="123"/>
      <c r="B25" s="209" t="s">
        <v>36</v>
      </c>
      <c r="C25" s="210"/>
      <c r="D25" s="210"/>
      <c r="E25" s="124" t="s">
        <v>35</v>
      </c>
      <c r="F25" s="65" t="s">
        <v>147</v>
      </c>
      <c r="G25" s="63">
        <f>4.38-G26-G27</f>
        <v>4.07</v>
      </c>
      <c r="H25" s="64">
        <f t="shared" si="0"/>
        <v>121968</v>
      </c>
    </row>
    <row r="26" spans="1:8" ht="15.75">
      <c r="A26" s="123"/>
      <c r="B26" s="209" t="s">
        <v>28</v>
      </c>
      <c r="C26" s="209"/>
      <c r="D26" s="209"/>
      <c r="E26" s="126" t="s">
        <v>9</v>
      </c>
      <c r="F26" s="65" t="s">
        <v>147</v>
      </c>
      <c r="G26" s="63">
        <v>0.31</v>
      </c>
      <c r="H26" s="64">
        <f t="shared" si="0"/>
        <v>9290</v>
      </c>
    </row>
    <row r="27" spans="1:8" ht="15.75">
      <c r="A27" s="123"/>
      <c r="B27" s="209" t="s">
        <v>29</v>
      </c>
      <c r="C27" s="209"/>
      <c r="D27" s="209"/>
      <c r="E27" s="126" t="s">
        <v>9</v>
      </c>
      <c r="F27" s="65" t="s">
        <v>147</v>
      </c>
      <c r="G27" s="63">
        <v>0</v>
      </c>
      <c r="H27" s="64">
        <f t="shared" si="0"/>
        <v>0</v>
      </c>
    </row>
    <row r="28" spans="1:8" ht="30.75" customHeight="1">
      <c r="A28" s="123"/>
      <c r="B28" s="210" t="s">
        <v>21</v>
      </c>
      <c r="C28" s="210"/>
      <c r="D28" s="210"/>
      <c r="E28" s="124" t="s">
        <v>35</v>
      </c>
      <c r="F28" s="65" t="s">
        <v>147</v>
      </c>
      <c r="G28" s="63">
        <v>1.54</v>
      </c>
      <c r="H28" s="64">
        <f t="shared" si="0"/>
        <v>46150</v>
      </c>
    </row>
    <row r="29" spans="1:9" ht="19.5" customHeight="1">
      <c r="A29" s="56"/>
      <c r="B29" s="177" t="s">
        <v>30</v>
      </c>
      <c r="C29" s="177"/>
      <c r="D29" s="177"/>
      <c r="E29" s="127"/>
      <c r="F29" s="65"/>
      <c r="G29" s="21">
        <f>SUM(G16:G28)</f>
        <v>13.82</v>
      </c>
      <c r="H29" s="128">
        <f>SUM(H16:H28)</f>
        <v>414152</v>
      </c>
      <c r="I29" s="129"/>
    </row>
    <row r="30" spans="1:8" ht="14.25" customHeight="1">
      <c r="A30" s="56" t="s">
        <v>148</v>
      </c>
      <c r="B30" s="208" t="s">
        <v>37</v>
      </c>
      <c r="C30" s="210"/>
      <c r="D30" s="210"/>
      <c r="E30" s="127" t="s">
        <v>149</v>
      </c>
      <c r="F30" s="50" t="s">
        <v>150</v>
      </c>
      <c r="G30" s="24">
        <v>1.54</v>
      </c>
      <c r="H30" s="64">
        <f>ROUND(G30*$E$8*4,0)</f>
        <v>46150</v>
      </c>
    </row>
    <row r="31" spans="1:8" ht="15.75">
      <c r="A31" s="56" t="s">
        <v>151</v>
      </c>
      <c r="B31" s="222" t="s">
        <v>69</v>
      </c>
      <c r="C31" s="222"/>
      <c r="D31" s="222"/>
      <c r="E31" s="222"/>
      <c r="F31" s="222"/>
      <c r="G31" s="24">
        <f>SUM(G29:G30)</f>
        <v>15.36</v>
      </c>
      <c r="H31" s="130">
        <f>SUM(H29:H30)</f>
        <v>460302</v>
      </c>
    </row>
    <row r="32" spans="1:8" ht="16.5" thickBot="1">
      <c r="A32" s="104" t="s">
        <v>90</v>
      </c>
      <c r="B32" s="223" t="s">
        <v>138</v>
      </c>
      <c r="C32" s="223"/>
      <c r="D32" s="223"/>
      <c r="E32" s="131" t="s">
        <v>149</v>
      </c>
      <c r="F32" s="132" t="s">
        <v>150</v>
      </c>
      <c r="G32" s="133">
        <v>0.8</v>
      </c>
      <c r="H32" s="134">
        <f>ROUND(G32*$E$8*4,0)</f>
        <v>23974</v>
      </c>
    </row>
    <row r="33" spans="2:5" ht="15.75" customHeight="1">
      <c r="B33" s="224" t="s">
        <v>152</v>
      </c>
      <c r="C33" s="224"/>
      <c r="D33" s="224"/>
      <c r="E33" s="224"/>
    </row>
    <row r="34" spans="1:4" ht="15.75" hidden="1">
      <c r="A34" s="221" t="s">
        <v>153</v>
      </c>
      <c r="B34" s="221"/>
      <c r="C34" s="221"/>
      <c r="D34" s="221"/>
    </row>
    <row r="35" spans="1:4" ht="15.75" hidden="1">
      <c r="A35" s="218" t="s">
        <v>154</v>
      </c>
      <c r="B35" s="218"/>
      <c r="C35" s="218"/>
      <c r="D35" s="218"/>
    </row>
    <row r="36" spans="1:4" ht="15.75" hidden="1">
      <c r="A36" s="218" t="s">
        <v>155</v>
      </c>
      <c r="B36" s="218"/>
      <c r="C36" s="218"/>
      <c r="D36" s="218"/>
    </row>
    <row r="37" spans="1:4" ht="15.75">
      <c r="A37" s="112"/>
      <c r="B37" s="112"/>
      <c r="C37" s="112"/>
      <c r="D37" s="112"/>
    </row>
    <row r="38" spans="1:4" ht="15.75">
      <c r="A38" s="112"/>
      <c r="B38" s="112"/>
      <c r="C38" s="112"/>
      <c r="D38" s="112"/>
    </row>
    <row r="39" spans="2:5" ht="15.75">
      <c r="B39" s="34" t="s">
        <v>159</v>
      </c>
      <c r="C39" s="34"/>
      <c r="D39" s="34"/>
      <c r="E39" s="34" t="s">
        <v>156</v>
      </c>
    </row>
    <row r="41" spans="2:5" ht="15.75">
      <c r="B41" s="34" t="s">
        <v>160</v>
      </c>
      <c r="C41" s="34"/>
      <c r="D41" s="34"/>
      <c r="E41" t="s">
        <v>157</v>
      </c>
    </row>
    <row r="44" spans="2:8" ht="15.75">
      <c r="B44" s="135"/>
      <c r="C44" s="135"/>
      <c r="D44" s="135"/>
      <c r="E44" s="135"/>
      <c r="F44" s="135"/>
      <c r="G44" s="135"/>
      <c r="H44" s="135"/>
    </row>
  </sheetData>
  <mergeCells count="27">
    <mergeCell ref="A34:D34"/>
    <mergeCell ref="A35:D35"/>
    <mergeCell ref="A36:D36"/>
    <mergeCell ref="B30:D30"/>
    <mergeCell ref="B31:F31"/>
    <mergeCell ref="B32:D32"/>
    <mergeCell ref="B33:E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D13"/>
    <mergeCell ref="B14:F14"/>
    <mergeCell ref="B16:D16"/>
    <mergeCell ref="B17:D17"/>
    <mergeCell ref="D1:H1"/>
    <mergeCell ref="A4:H4"/>
    <mergeCell ref="B6:E6"/>
    <mergeCell ref="B12:D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O19" sqref="O19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75390625" style="0" customWidth="1"/>
    <col min="6" max="6" width="18.00390625" style="0" hidden="1" customWidth="1"/>
    <col min="7" max="7" width="9.375" style="0" hidden="1" customWidth="1"/>
    <col min="8" max="8" width="13.25390625" style="0" hidden="1" customWidth="1"/>
    <col min="9" max="9" width="12.00390625" style="0" hidden="1" customWidth="1"/>
    <col min="10" max="10" width="13.00390625" style="0" hidden="1" customWidth="1"/>
    <col min="11" max="11" width="18.50390625" style="0" customWidth="1"/>
    <col min="12" max="13" width="0" style="0" hidden="1" customWidth="1"/>
  </cols>
  <sheetData>
    <row r="1" spans="1:11" ht="114.75" customHeight="1">
      <c r="A1" s="159" t="s">
        <v>176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68.25" customHeight="1">
      <c r="A2" s="229" t="s">
        <v>165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9" ht="18.75">
      <c r="A3" s="1" t="s">
        <v>77</v>
      </c>
      <c r="B3" s="1" t="s">
        <v>85</v>
      </c>
      <c r="C3" s="2"/>
      <c r="D3" s="2" t="s">
        <v>0</v>
      </c>
      <c r="E3" s="113">
        <v>7491.9</v>
      </c>
      <c r="F3" s="2"/>
      <c r="I3" s="69"/>
    </row>
    <row r="4" spans="2:6" ht="15.75">
      <c r="B4" s="3" t="s">
        <v>1</v>
      </c>
      <c r="C4" s="27">
        <v>9</v>
      </c>
      <c r="D4" s="2" t="s">
        <v>2</v>
      </c>
      <c r="E4" s="4">
        <v>144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83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66" customHeight="1">
      <c r="A7" s="22" t="s">
        <v>60</v>
      </c>
      <c r="B7" s="193" t="s">
        <v>100</v>
      </c>
      <c r="C7" s="194"/>
      <c r="D7" s="195"/>
      <c r="E7" s="11" t="s">
        <v>6</v>
      </c>
      <c r="F7" s="11" t="s">
        <v>7</v>
      </c>
      <c r="G7" s="33" t="s">
        <v>166</v>
      </c>
      <c r="H7" s="137" t="s">
        <v>167</v>
      </c>
      <c r="I7" s="196" t="s">
        <v>168</v>
      </c>
      <c r="J7" s="197"/>
      <c r="K7" s="198"/>
      <c r="L7" s="51">
        <v>8</v>
      </c>
      <c r="M7" s="138" t="s">
        <v>169</v>
      </c>
    </row>
    <row r="8" spans="1:11" ht="15.75">
      <c r="A8" s="23">
        <v>1</v>
      </c>
      <c r="B8" s="164"/>
      <c r="C8" s="165"/>
      <c r="D8" s="165"/>
      <c r="E8" s="165"/>
      <c r="F8" s="166"/>
      <c r="G8" s="139"/>
      <c r="H8" s="139"/>
      <c r="I8" s="140" t="s">
        <v>102</v>
      </c>
      <c r="J8" s="73" t="s">
        <v>103</v>
      </c>
      <c r="K8" s="73" t="s">
        <v>104</v>
      </c>
    </row>
    <row r="9" spans="1:11" ht="15.75">
      <c r="A9" s="23"/>
      <c r="B9" s="164" t="s">
        <v>105</v>
      </c>
      <c r="C9" s="165"/>
      <c r="D9" s="165"/>
      <c r="E9" s="165"/>
      <c r="F9" s="166"/>
      <c r="G9" s="52"/>
      <c r="H9" s="52"/>
      <c r="I9" s="52"/>
      <c r="J9" s="52"/>
      <c r="K9" s="73"/>
    </row>
    <row r="10" spans="1:11" ht="15.75" customHeight="1">
      <c r="A10" s="74"/>
      <c r="B10" s="190" t="s">
        <v>106</v>
      </c>
      <c r="C10" s="190"/>
      <c r="D10" s="190"/>
      <c r="E10" s="190"/>
      <c r="F10" s="190"/>
      <c r="G10" s="15"/>
      <c r="H10" s="15"/>
      <c r="I10" s="75">
        <v>823077.36</v>
      </c>
      <c r="J10" s="57"/>
      <c r="K10" s="53">
        <f>I10+J10</f>
        <v>823077.36</v>
      </c>
    </row>
    <row r="11" spans="1:11" ht="15.75" customHeight="1">
      <c r="A11" s="74"/>
      <c r="B11" s="190" t="s">
        <v>107</v>
      </c>
      <c r="C11" s="190"/>
      <c r="D11" s="190"/>
      <c r="E11" s="190"/>
      <c r="F11" s="190"/>
      <c r="G11" s="15"/>
      <c r="H11" s="15"/>
      <c r="I11" s="16">
        <v>34609.78</v>
      </c>
      <c r="J11" s="57"/>
      <c r="K11" s="53">
        <f>I11+J11</f>
        <v>34609.78</v>
      </c>
    </row>
    <row r="12" spans="1:11" ht="15.75" customHeight="1">
      <c r="A12" s="23"/>
      <c r="B12" s="190" t="s">
        <v>108</v>
      </c>
      <c r="C12" s="190"/>
      <c r="D12" s="190"/>
      <c r="E12" s="190"/>
      <c r="F12" s="190"/>
      <c r="G12" s="15"/>
      <c r="H12" s="15"/>
      <c r="I12" s="75"/>
      <c r="J12" s="57">
        <v>0</v>
      </c>
      <c r="K12" s="53">
        <f>I12+J12</f>
        <v>0</v>
      </c>
    </row>
    <row r="13" spans="1:11" ht="15.75" customHeight="1">
      <c r="A13" s="23"/>
      <c r="B13" s="190" t="s">
        <v>170</v>
      </c>
      <c r="C13" s="190"/>
      <c r="D13" s="190"/>
      <c r="E13" s="190"/>
      <c r="F13" s="190"/>
      <c r="G13" s="15"/>
      <c r="H13" s="15"/>
      <c r="I13" s="75">
        <v>0</v>
      </c>
      <c r="J13" s="77">
        <v>0</v>
      </c>
      <c r="K13" s="53">
        <f>I13+J13</f>
        <v>0</v>
      </c>
    </row>
    <row r="14" spans="1:11" ht="15.75" customHeight="1">
      <c r="A14" s="23"/>
      <c r="B14" s="170" t="s">
        <v>110</v>
      </c>
      <c r="C14" s="170"/>
      <c r="D14" s="170"/>
      <c r="E14" s="170"/>
      <c r="F14" s="170"/>
      <c r="G14" s="15"/>
      <c r="H14" s="15"/>
      <c r="I14" s="78">
        <f>SUM(I10:I12)</f>
        <v>857687.14</v>
      </c>
      <c r="J14" s="79">
        <f>SUM(J10:J12)</f>
        <v>0</v>
      </c>
      <c r="K14" s="98">
        <f>SUM(K10:K13)</f>
        <v>857687.14</v>
      </c>
    </row>
    <row r="15" spans="1:11" ht="18.75" customHeight="1">
      <c r="A15" s="23">
        <v>2</v>
      </c>
      <c r="B15" s="225" t="s">
        <v>65</v>
      </c>
      <c r="C15" s="225"/>
      <c r="D15" s="225"/>
      <c r="E15" s="225"/>
      <c r="F15" s="225"/>
      <c r="G15" s="15"/>
      <c r="H15" s="15"/>
      <c r="I15" s="75"/>
      <c r="J15" s="57"/>
      <c r="K15" s="35"/>
    </row>
    <row r="16" spans="1:11" ht="15.75">
      <c r="A16" s="23" t="s">
        <v>111</v>
      </c>
      <c r="B16" s="54" t="s">
        <v>66</v>
      </c>
      <c r="C16" s="54"/>
      <c r="D16" s="54"/>
      <c r="E16" s="54"/>
      <c r="F16" s="94"/>
      <c r="G16" s="140"/>
      <c r="H16" s="140"/>
      <c r="I16" s="140"/>
      <c r="J16" s="70"/>
      <c r="K16" s="73"/>
    </row>
    <row r="17" spans="1:11" ht="15.75" customHeight="1">
      <c r="A17" s="26"/>
      <c r="B17" s="191" t="s">
        <v>171</v>
      </c>
      <c r="C17" s="191"/>
      <c r="D17" s="191"/>
      <c r="E17" s="80" t="s">
        <v>32</v>
      </c>
      <c r="F17" s="62" t="s">
        <v>24</v>
      </c>
      <c r="G17" s="63">
        <v>1.22</v>
      </c>
      <c r="H17" s="63">
        <v>1.29</v>
      </c>
      <c r="I17" s="81">
        <f>ROUND($E$3*G17*6,2)+ROUND($E$3*H17*($L$7-6),2)</f>
        <v>74169.81</v>
      </c>
      <c r="J17" s="82"/>
      <c r="K17" s="83">
        <f>SUM(I17:J17)</f>
        <v>74169.81</v>
      </c>
    </row>
    <row r="18" spans="1:11" ht="15.75">
      <c r="A18" s="23"/>
      <c r="B18" s="188" t="s">
        <v>17</v>
      </c>
      <c r="C18" s="188"/>
      <c r="D18" s="188"/>
      <c r="E18" s="80" t="s">
        <v>32</v>
      </c>
      <c r="F18" s="62" t="s">
        <v>19</v>
      </c>
      <c r="G18" s="63">
        <v>0.28</v>
      </c>
      <c r="H18" s="63">
        <v>0.3</v>
      </c>
      <c r="I18" s="81">
        <f>ROUND($E$3*G18*6,2)+ROUND($E$3*H18*($L$7-6),2)</f>
        <v>17081.53</v>
      </c>
      <c r="J18" s="82"/>
      <c r="K18" s="83">
        <f aca="true" t="shared" si="0" ref="K18:K37">SUM(I18:J18)</f>
        <v>17081.53</v>
      </c>
    </row>
    <row r="19" spans="1:11" ht="20.25" customHeight="1">
      <c r="A19" s="23"/>
      <c r="B19" s="187" t="s">
        <v>23</v>
      </c>
      <c r="C19" s="187"/>
      <c r="D19" s="187"/>
      <c r="E19" s="84" t="s">
        <v>112</v>
      </c>
      <c r="F19" s="65" t="s">
        <v>20</v>
      </c>
      <c r="G19" s="63">
        <v>0.99</v>
      </c>
      <c r="H19" s="63">
        <v>1.05</v>
      </c>
      <c r="I19" s="81">
        <f>K19-J19</f>
        <v>83910.97</v>
      </c>
      <c r="J19" s="82"/>
      <c r="K19" s="85">
        <v>83910.97</v>
      </c>
    </row>
    <row r="20" spans="1:11" ht="20.25" customHeight="1">
      <c r="A20" s="26"/>
      <c r="B20" s="191" t="s">
        <v>31</v>
      </c>
      <c r="C20" s="191"/>
      <c r="D20" s="191"/>
      <c r="E20" s="86" t="s">
        <v>9</v>
      </c>
      <c r="F20" s="66" t="s">
        <v>10</v>
      </c>
      <c r="G20" s="63">
        <v>0.51</v>
      </c>
      <c r="H20" s="63">
        <v>0.54</v>
      </c>
      <c r="I20" s="81">
        <f>ROUND($E$3*G20*6,2)+ROUND($E$3*H20*($L$7-6),2)</f>
        <v>31016.46</v>
      </c>
      <c r="J20" s="82"/>
      <c r="K20" s="83">
        <f t="shared" si="0"/>
        <v>31016.46</v>
      </c>
    </row>
    <row r="21" spans="1:11" ht="55.5" customHeight="1">
      <c r="A21" s="23"/>
      <c r="B21" s="187" t="s">
        <v>27</v>
      </c>
      <c r="C21" s="187"/>
      <c r="D21" s="187"/>
      <c r="E21" s="84" t="s">
        <v>113</v>
      </c>
      <c r="F21" s="65" t="s">
        <v>25</v>
      </c>
      <c r="G21" s="63">
        <v>0.12</v>
      </c>
      <c r="H21" s="63">
        <v>0.13</v>
      </c>
      <c r="I21" s="81">
        <f>K21-J21</f>
        <v>7653.72</v>
      </c>
      <c r="J21" s="82"/>
      <c r="K21" s="85">
        <v>7653.72</v>
      </c>
    </row>
    <row r="22" spans="1:11" ht="20.25" customHeight="1">
      <c r="A22" s="26"/>
      <c r="B22" s="187" t="s">
        <v>11</v>
      </c>
      <c r="C22" s="187"/>
      <c r="D22" s="187"/>
      <c r="E22" s="84" t="s">
        <v>9</v>
      </c>
      <c r="F22" s="65" t="s">
        <v>12</v>
      </c>
      <c r="G22" s="63">
        <v>2.22</v>
      </c>
      <c r="H22" s="63">
        <v>2.35</v>
      </c>
      <c r="I22" s="81">
        <f>ROUND($E$3*G22*6,2)+ROUND($E$3*H22*($L$7-6),2)</f>
        <v>135004.04</v>
      </c>
      <c r="J22" s="82"/>
      <c r="K22" s="83">
        <f t="shared" si="0"/>
        <v>135004.04</v>
      </c>
    </row>
    <row r="23" spans="1:11" ht="31.5" customHeight="1">
      <c r="A23" s="26"/>
      <c r="B23" s="187" t="s">
        <v>26</v>
      </c>
      <c r="C23" s="180"/>
      <c r="D23" s="180"/>
      <c r="E23" s="87" t="s">
        <v>13</v>
      </c>
      <c r="F23" s="59" t="s">
        <v>14</v>
      </c>
      <c r="G23" s="63">
        <v>0.05</v>
      </c>
      <c r="H23" s="63">
        <v>0.05</v>
      </c>
      <c r="I23" s="81">
        <f>K23-J23</f>
        <v>5594.4</v>
      </c>
      <c r="J23" s="82"/>
      <c r="K23" s="85">
        <v>5594.4</v>
      </c>
    </row>
    <row r="24" spans="1:11" ht="56.25" customHeight="1">
      <c r="A24" s="23"/>
      <c r="B24" s="187" t="s">
        <v>71</v>
      </c>
      <c r="C24" s="187"/>
      <c r="D24" s="187"/>
      <c r="E24" s="80" t="s">
        <v>146</v>
      </c>
      <c r="F24" s="46" t="s">
        <v>82</v>
      </c>
      <c r="G24" s="63">
        <v>2.15</v>
      </c>
      <c r="H24" s="63">
        <v>2.28</v>
      </c>
      <c r="I24" s="81">
        <f>ROUND($E$3*G24*6,2)+ROUND($E$3*H24*($L$7-6),2)</f>
        <v>130808.56999999999</v>
      </c>
      <c r="J24" s="82"/>
      <c r="K24" s="83">
        <f t="shared" si="0"/>
        <v>130808.56999999999</v>
      </c>
    </row>
    <row r="25" spans="1:11" ht="52.5" customHeight="1">
      <c r="A25" s="23"/>
      <c r="B25" s="188" t="s">
        <v>15</v>
      </c>
      <c r="C25" s="188"/>
      <c r="D25" s="188"/>
      <c r="E25" s="80" t="s">
        <v>96</v>
      </c>
      <c r="F25" s="46" t="s">
        <v>82</v>
      </c>
      <c r="G25" s="63">
        <v>0.53</v>
      </c>
      <c r="H25" s="63">
        <v>0.56</v>
      </c>
      <c r="I25" s="81">
        <f>K25-J25</f>
        <v>32345.02</v>
      </c>
      <c r="J25" s="82"/>
      <c r="K25" s="83">
        <v>32345.02</v>
      </c>
    </row>
    <row r="26" spans="1:11" ht="30" customHeight="1">
      <c r="A26" s="23"/>
      <c r="B26" s="189" t="s">
        <v>36</v>
      </c>
      <c r="C26" s="185"/>
      <c r="D26" s="186"/>
      <c r="E26" s="80" t="s">
        <v>35</v>
      </c>
      <c r="F26" s="46" t="s">
        <v>82</v>
      </c>
      <c r="G26" s="48">
        <f>3.52-G27-G28</f>
        <v>3.23</v>
      </c>
      <c r="H26" s="63">
        <f>3.73-H27-H28</f>
        <v>3.42</v>
      </c>
      <c r="I26" s="81">
        <f>ROUND($E$3*G26*6,2)+ROUND($E$3*H26*($L$7-6),2)</f>
        <v>196437.62</v>
      </c>
      <c r="J26" s="89"/>
      <c r="K26" s="83">
        <f t="shared" si="0"/>
        <v>196437.62</v>
      </c>
    </row>
    <row r="27" spans="1:11" ht="26.25" customHeight="1">
      <c r="A27" s="26"/>
      <c r="B27" s="187" t="s">
        <v>114</v>
      </c>
      <c r="C27" s="187"/>
      <c r="D27" s="187"/>
      <c r="E27" s="84" t="s">
        <v>9</v>
      </c>
      <c r="F27" s="46" t="s">
        <v>82</v>
      </c>
      <c r="G27" s="48">
        <v>0.29</v>
      </c>
      <c r="H27" s="63">
        <v>0.31</v>
      </c>
      <c r="I27" s="141">
        <f>ROUND($E$3*G27*6,2)+ROUND($E$3*H27*($L$7-6),2)</f>
        <v>17680.89</v>
      </c>
      <c r="J27" s="89"/>
      <c r="K27" s="83">
        <f t="shared" si="0"/>
        <v>17680.89</v>
      </c>
    </row>
    <row r="28" spans="1:11" ht="28.5" customHeight="1">
      <c r="A28" s="23"/>
      <c r="B28" s="187" t="s">
        <v>115</v>
      </c>
      <c r="C28" s="187"/>
      <c r="D28" s="187"/>
      <c r="E28" s="84" t="s">
        <v>9</v>
      </c>
      <c r="F28" s="46" t="s">
        <v>82</v>
      </c>
      <c r="G28" s="48">
        <v>0</v>
      </c>
      <c r="H28" s="63">
        <v>0</v>
      </c>
      <c r="I28" s="141">
        <f>ROUND($E$3*G28*6,2)+ROUND($E$3*H28*($L$7-6),2)</f>
        <v>0</v>
      </c>
      <c r="J28" s="89"/>
      <c r="K28" s="83">
        <f t="shared" si="0"/>
        <v>0</v>
      </c>
    </row>
    <row r="29" spans="1:11" ht="27" customHeight="1">
      <c r="A29" s="23"/>
      <c r="B29" s="180" t="s">
        <v>21</v>
      </c>
      <c r="C29" s="180"/>
      <c r="D29" s="180"/>
      <c r="E29" s="80" t="s">
        <v>35</v>
      </c>
      <c r="F29" s="46" t="s">
        <v>82</v>
      </c>
      <c r="G29" s="59">
        <v>1.45</v>
      </c>
      <c r="H29" s="63">
        <v>1.54</v>
      </c>
      <c r="I29" s="81">
        <f>ROUND($E$3*G29*6,2)+ROUND($E$3*H29*($L$7-6),2)</f>
        <v>88254.58</v>
      </c>
      <c r="J29" s="82"/>
      <c r="K29" s="83">
        <f t="shared" si="0"/>
        <v>88254.58</v>
      </c>
    </row>
    <row r="30" spans="1:11" ht="15.75">
      <c r="A30" s="23"/>
      <c r="B30" s="184"/>
      <c r="C30" s="185"/>
      <c r="D30" s="186"/>
      <c r="E30" s="126"/>
      <c r="F30" s="46"/>
      <c r="G30" s="59"/>
      <c r="H30" s="59"/>
      <c r="I30" s="88"/>
      <c r="J30" s="77"/>
      <c r="K30" s="90"/>
    </row>
    <row r="31" spans="1:11" ht="15.75">
      <c r="A31" s="23"/>
      <c r="B31" s="228" t="s">
        <v>30</v>
      </c>
      <c r="C31" s="228"/>
      <c r="D31" s="228"/>
      <c r="E31" s="23"/>
      <c r="F31" s="46"/>
      <c r="G31" s="24">
        <f>SUM(G17:G29)</f>
        <v>13.039999999999997</v>
      </c>
      <c r="H31" s="24">
        <f>SUM(H17:H29)</f>
        <v>13.82</v>
      </c>
      <c r="I31" s="98">
        <f>SUM(I17:I30)</f>
        <v>819957.6100000001</v>
      </c>
      <c r="J31" s="79"/>
      <c r="K31" s="98">
        <f>SUM(K17:K30)</f>
        <v>819957.6100000001</v>
      </c>
    </row>
    <row r="32" spans="1:11" ht="15.75" hidden="1">
      <c r="A32" s="23"/>
      <c r="B32" s="181" t="s">
        <v>116</v>
      </c>
      <c r="C32" s="182"/>
      <c r="D32" s="183"/>
      <c r="E32" s="126" t="s">
        <v>9</v>
      </c>
      <c r="F32" s="46"/>
      <c r="G32" s="59"/>
      <c r="H32" s="59"/>
      <c r="I32" s="88"/>
      <c r="J32" s="77"/>
      <c r="K32" s="90"/>
    </row>
    <row r="33" spans="1:11" ht="25.5" hidden="1">
      <c r="A33" s="23"/>
      <c r="B33" s="181" t="s">
        <v>117</v>
      </c>
      <c r="C33" s="182"/>
      <c r="D33" s="183"/>
      <c r="E33" s="124" t="s">
        <v>35</v>
      </c>
      <c r="F33" s="46"/>
      <c r="G33" s="59"/>
      <c r="H33" s="59"/>
      <c r="I33" s="88"/>
      <c r="J33" s="77"/>
      <c r="K33" s="90"/>
    </row>
    <row r="34" spans="1:11" ht="15.75" hidden="1">
      <c r="A34" s="23"/>
      <c r="B34" s="184"/>
      <c r="C34" s="185"/>
      <c r="D34" s="186"/>
      <c r="E34" s="126"/>
      <c r="F34" s="46"/>
      <c r="G34" s="59"/>
      <c r="H34" s="59"/>
      <c r="I34" s="88"/>
      <c r="J34" s="77"/>
      <c r="K34" s="90"/>
    </row>
    <row r="35" spans="1:11" ht="20.25" customHeight="1">
      <c r="A35" s="23" t="s">
        <v>118</v>
      </c>
      <c r="B35" s="146" t="s">
        <v>119</v>
      </c>
      <c r="C35" s="147"/>
      <c r="D35" s="147"/>
      <c r="E35" s="148"/>
      <c r="F35" s="46" t="s">
        <v>82</v>
      </c>
      <c r="G35" s="24">
        <f>I35/E3/6</f>
        <v>0.2388802128521025</v>
      </c>
      <c r="H35" s="24">
        <v>0</v>
      </c>
      <c r="I35" s="142">
        <v>10738</v>
      </c>
      <c r="J35" s="92"/>
      <c r="K35" s="98">
        <f t="shared" si="0"/>
        <v>10738</v>
      </c>
    </row>
    <row r="36" spans="1:11" ht="15" customHeight="1">
      <c r="A36" s="25"/>
      <c r="B36" s="157" t="s">
        <v>69</v>
      </c>
      <c r="C36" s="157"/>
      <c r="D36" s="157"/>
      <c r="E36" s="157"/>
      <c r="F36" s="157"/>
      <c r="G36" s="24">
        <f>SUM(G31:G35)</f>
        <v>13.2788802128521</v>
      </c>
      <c r="H36" s="24">
        <f>SUM(H31:H35)</f>
        <v>13.82</v>
      </c>
      <c r="I36" s="143">
        <f>SUM(I31:I35)</f>
        <v>830695.6100000001</v>
      </c>
      <c r="J36" s="144"/>
      <c r="K36" s="144">
        <f>SUM(K31:K35)</f>
        <v>830695.6100000001</v>
      </c>
    </row>
    <row r="37" spans="1:11" ht="14.25" customHeight="1">
      <c r="A37" s="23" t="s">
        <v>120</v>
      </c>
      <c r="B37" s="157" t="s">
        <v>121</v>
      </c>
      <c r="C37" s="157"/>
      <c r="D37" s="157"/>
      <c r="E37" s="157"/>
      <c r="F37" s="157"/>
      <c r="G37" s="24"/>
      <c r="H37" s="24"/>
      <c r="I37" s="95">
        <v>0</v>
      </c>
      <c r="J37" s="95"/>
      <c r="K37" s="145">
        <f t="shared" si="0"/>
        <v>0</v>
      </c>
    </row>
    <row r="38" spans="1:11" ht="18.75">
      <c r="A38" s="25"/>
      <c r="B38" s="157" t="s">
        <v>122</v>
      </c>
      <c r="C38" s="157"/>
      <c r="D38" s="157"/>
      <c r="E38" s="157"/>
      <c r="F38" s="157"/>
      <c r="G38" s="24">
        <f>SUM(G36:G37)</f>
        <v>13.2788802128521</v>
      </c>
      <c r="H38" s="24">
        <f>SUM(H36:H37)</f>
        <v>13.82</v>
      </c>
      <c r="I38" s="143">
        <f>SUM(I36:I37)</f>
        <v>830695.6100000001</v>
      </c>
      <c r="J38" s="144"/>
      <c r="K38" s="144">
        <f>SUM(K36:K37)</f>
        <v>830695.6100000001</v>
      </c>
    </row>
    <row r="39" spans="1:11" ht="15" customHeight="1">
      <c r="A39" s="23">
        <v>3</v>
      </c>
      <c r="B39" s="226" t="s">
        <v>172</v>
      </c>
      <c r="C39" s="150"/>
      <c r="D39" s="150"/>
      <c r="E39" s="150"/>
      <c r="F39" s="150"/>
      <c r="G39" s="151"/>
      <c r="H39" s="136"/>
      <c r="I39" s="81">
        <f>I14-I38</f>
        <v>26991.52999999991</v>
      </c>
      <c r="J39" s="81"/>
      <c r="K39" s="79">
        <f>K14-K38</f>
        <v>26991.52999999991</v>
      </c>
    </row>
    <row r="40" spans="2:6" ht="15.75" customHeight="1">
      <c r="B40" s="34"/>
      <c r="F40" s="34"/>
    </row>
    <row r="41" spans="2:10" ht="15.75">
      <c r="B41" s="227" t="s">
        <v>173</v>
      </c>
      <c r="C41" s="227"/>
      <c r="D41" s="227"/>
      <c r="E41" s="227"/>
      <c r="F41" s="227"/>
      <c r="G41" s="227"/>
      <c r="H41" s="227"/>
      <c r="I41" s="227"/>
      <c r="J41" s="227"/>
    </row>
    <row r="42" spans="2:4" ht="15.75">
      <c r="B42" s="34"/>
      <c r="C42" s="34"/>
      <c r="D42" s="34"/>
    </row>
    <row r="43" spans="2:4" ht="15.75">
      <c r="B43" s="99" t="s">
        <v>79</v>
      </c>
      <c r="C43" s="99"/>
      <c r="D43" s="99"/>
    </row>
    <row r="44" spans="2:9" ht="15.75">
      <c r="B44" s="34" t="s">
        <v>174</v>
      </c>
      <c r="C44" s="34"/>
      <c r="D44" s="34"/>
      <c r="E44" s="34"/>
      <c r="F44" s="34"/>
      <c r="G44" s="34"/>
      <c r="H44" s="34"/>
      <c r="I44" s="34"/>
    </row>
    <row r="45" spans="2:4" ht="15.75" customHeight="1">
      <c r="B45" s="160" t="s">
        <v>87</v>
      </c>
      <c r="C45" s="160"/>
      <c r="D45" s="160"/>
    </row>
    <row r="47" ht="15.75">
      <c r="B47" t="s">
        <v>175</v>
      </c>
    </row>
  </sheetData>
  <mergeCells count="37">
    <mergeCell ref="B33:D33"/>
    <mergeCell ref="B34:D34"/>
    <mergeCell ref="B30:D30"/>
    <mergeCell ref="B31:D31"/>
    <mergeCell ref="B32:D32"/>
    <mergeCell ref="B45:D45"/>
    <mergeCell ref="B35:E35"/>
    <mergeCell ref="B36:F36"/>
    <mergeCell ref="B39:G39"/>
    <mergeCell ref="B41:J41"/>
    <mergeCell ref="B37:F37"/>
    <mergeCell ref="B38:F38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B8:F8"/>
    <mergeCell ref="I7:K7"/>
    <mergeCell ref="A2:K2"/>
    <mergeCell ref="A1:K1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2013-04-19T09:50:31Z</cp:lastPrinted>
  <dcterms:created xsi:type="dcterms:W3CDTF">2009-08-26T03:25:10Z</dcterms:created>
  <dcterms:modified xsi:type="dcterms:W3CDTF">2013-04-19T09:50:36Z</dcterms:modified>
  <cp:category/>
  <cp:version/>
  <cp:contentType/>
  <cp:contentStatus/>
</cp:coreProperties>
</file>