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12" sheetId="7" state="hidden" r:id="rId7"/>
    <sheet name="план2013" sheetId="8" state="hidden" r:id="rId8"/>
    <sheet name="отчет12(09-12)" sheetId="9" r:id="rId9"/>
    <sheet name="накопит отчет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<sst xmlns="http://schemas.openxmlformats.org/spreadsheetml/2006/main" count="799" uniqueCount="262">
  <si>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</si>
  <si>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</si>
  <si>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</si>
  <si>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</si>
  <si>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</si>
  <si>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</si>
  <si>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</si>
  <si>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</si>
  <si>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</si>
  <si>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</si>
  <si>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</si>
  <si>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</si>
  <si>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</si>
  <si>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</si>
  <si>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</si>
  <si>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</si>
  <si>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</si>
  <si>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</si>
  <si>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</si>
  <si>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</si>
  <si>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</si>
  <si>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</si>
  <si>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</si>
  <si>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</si>
  <si>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</si>
  <si>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</si>
  <si>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</si>
  <si>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</si>
  <si>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</si>
  <si>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</si>
  <si>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</si>
  <si>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</si>
  <si>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</si>
  <si>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</si>
  <si>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</si>
  <si>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</si>
  <si>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</si>
  <si>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</si>
  <si>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</si>
  <si>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</si>
  <si>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</si>
  <si>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</si>
  <si>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</si>
  <si>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</si>
  <si>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</si>
  <si>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</si>
  <si>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</si>
  <si>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</si>
  <si>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</si>
  <si>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</si>
  <si>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</si>
  <si>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</si>
  <si>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</si>
  <si>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</si>
  <si>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</si>
  <si>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</si>
  <si>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</si>
  <si>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</si>
  <si>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</si>
  <si>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</si>
  <si>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</si>
  <si>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</si>
  <si>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</si>
  <si>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</si>
  <si>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</si>
  <si>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</si>
  <si>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</si>
  <si>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</si>
  <si>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</si>
  <si>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</si>
  <si>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</si>
  <si>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</si>
  <si>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</si>
  <si>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</si>
  <si>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</si>
  <si>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</si>
  <si>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</si>
  <si>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</si>
  <si>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</si>
  <si>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</si>
  <si>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</si>
  <si>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</si>
  <si>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</si>
  <si>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</si>
  <si>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 xml:space="preserve">                     Представитель собственников  - старший по дому Горбачева Е.И.,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</si>
  <si>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Пацаева, 17 А</t>
  </si>
  <si>
    <t>Старший по дому                                                                 Е.И. Горбачева</t>
  </si>
  <si>
    <t>Претензий по управлению нет (да)</t>
  </si>
  <si>
    <t>ОТЧЕТ
за  2009 г. о выполненнии условий  договора управления МКД
№ 84/6 от 28.03.2008 г., заключенного между ООО "ОЖКС №6" 
и собственниками многоквартирного дома
по адресу: ул. Пацаева, 17 А</t>
  </si>
  <si>
    <t>ОТЧЕТ
о выполненных работах в 2008 году по договору управления МКД 
№ 84/6 от 28.03.2008 г., заключенного между ООО "ОЖКС №6" и собственниками многоквартирного дома
по адресу:  ул. Пацаева, 17 а.</t>
  </si>
  <si>
    <t xml:space="preserve">            Представитель собственников  - старший по дому Горбачева Е.И.,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</si>
  <si>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</si>
  <si>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</si>
  <si>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</si>
  <si>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</si>
  <si>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</si>
  <si>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</si>
  <si>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</si>
  <si>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</si>
  <si>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</si>
  <si>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</si>
  <si>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</si>
  <si>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</si>
  <si>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</si>
  <si>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</si>
  <si>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</si>
  <si>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</si>
  <si>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</si>
  <si>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</si>
  <si>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</si>
  <si>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</si>
  <si>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</si>
  <si>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</si>
  <si>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</si>
  <si>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</si>
  <si>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</si>
  <si>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</si>
  <si>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</si>
  <si>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</si>
  <si>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</si>
  <si>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</si>
  <si>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</si>
  <si>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</si>
  <si>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</si>
  <si>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</si>
  <si>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</si>
  <si>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</si>
  <si>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</si>
  <si>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</si>
  <si>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</si>
  <si>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</si>
  <si>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</si>
  <si>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</si>
  <si>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</si>
  <si>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</si>
  <si>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</si>
  <si>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</si>
  <si>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</si>
  <si>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</si>
  <si>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</si>
  <si>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</si>
  <si>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</si>
  <si>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</si>
  <si>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</si>
  <si>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</si>
  <si>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</si>
  <si>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</si>
  <si>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</si>
  <si>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</si>
  <si>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</si>
  <si>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</si>
  <si>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</si>
  <si>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</si>
  <si>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</si>
  <si>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</si>
  <si>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</si>
  <si>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</si>
  <si>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</si>
  <si>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</si>
  <si>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</si>
  <si>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</si>
  <si>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</si>
  <si>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</si>
  <si>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</si>
  <si>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</si>
  <si>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</si>
  <si>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</si>
  <si>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</si>
  <si>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</si>
  <si>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</si>
  <si>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</si>
  <si>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</si>
  <si>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</si>
  <si>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</si>
  <si>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</si>
  <si>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</si>
  <si>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</si>
  <si>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</si>
  <si>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</si>
  <si>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</si>
  <si>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</si>
  <si>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</si>
  <si>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</si>
  <si>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</si>
  <si>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</si>
  <si>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</si>
  <si>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</si>
  <si>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</si>
  <si>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</si>
  <si>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</si>
  <si>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</si>
  <si>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</si>
  <si>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</si>
  <si>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</si>
  <si>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</si>
  <si>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</si>
  <si>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            Представитель собственников  - старший по дому Горбачева Е.И.,с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</si>
  <si>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</si>
  <si>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>Итого</t>
  </si>
  <si>
    <t>результат
 за год
(+эконом., 
-перерасх.)</t>
  </si>
  <si>
    <t>Сбор, вывоз  бытового мусора, содержание  мусоропроводов</t>
  </si>
  <si>
    <t>ОТЧЕТ
за  2011 г. о выполненнии условий 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</si>
  <si>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            Представитель собственников  - старший по дому ________________________________,с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</si>
  <si>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</si>
  <si>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_____________________________</t>
  </si>
  <si>
    <t xml:space="preserve">Капитальный ремонт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</si>
  <si>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</si>
  <si>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Смета 
доходов и расходов на  2012 г. согласно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</si>
  <si>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</si>
  <si>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</si>
  <si>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</si>
  <si>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Сбор, вывоз  бытового мусора, содержание контейнерных площадок</t>
  </si>
  <si>
    <t xml:space="preserve">Содержание и уборка  придомовой территории </t>
  </si>
  <si>
    <t>подметание асфальта -   1 раз/неделю,                
подбор мусора - ежедневно</t>
  </si>
  <si>
    <t>ООО "ОЖКС № 3"</t>
  </si>
  <si>
    <t>1.2.</t>
  </si>
  <si>
    <t>по плану работ</t>
  </si>
  <si>
    <t>ООО  "ОЖКС № 3"</t>
  </si>
  <si>
    <t>1.3.</t>
  </si>
  <si>
    <t>* в случае уточнения площадей возможно изменение стоимости</t>
  </si>
  <si>
    <t>Справочно: индекс увеличения тарифа по году 103%:</t>
  </si>
  <si>
    <t>- с 1 января 2012г. Тариф остается на уровне 2011г.</t>
  </si>
  <si>
    <t>- с 1 июля 2012г. к Тарифу применен индекс 106%.</t>
  </si>
  <si>
    <t xml:space="preserve">           Представитель собственников</t>
  </si>
  <si>
    <t xml:space="preserve">            ________________________</t>
  </si>
  <si>
    <t>Адрес: ул. Пацаева, 17А</t>
  </si>
  <si>
    <t xml:space="preserve">Директор ООО "ОЖКС № 6"                                                                       </t>
  </si>
  <si>
    <t>________________ Л.И. Никашина</t>
  </si>
  <si>
    <t>Тариф с 1 сентября 2012 г. - 15,36 руб., капитальный ремонт - 0,80 руб.</t>
  </si>
  <si>
    <t>Тариф 
на 1 кв.м. 
сентябрь-декабрь 2012г.
руб.</t>
  </si>
  <si>
    <t>Стоимость работ
сентябрь-декабрь 2012г. руб.</t>
  </si>
  <si>
    <t>5=гр.4*Sдома*4мес.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</si>
  <si>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</si>
  <si>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</si>
  <si>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</si>
  <si>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</si>
  <si>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</si>
  <si>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</si>
  <si>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</si>
  <si>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</si>
  <si>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 xml:space="preserve"> Текущий ремонт общего имущества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</si>
  <si>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</si>
  <si>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</si>
  <si>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14/6 от 10.09.2012 г., 
заключенного между ООО "ОЖКС № 6"   
и собственниками многоквартирного дома
по адресу:  ул. Пацаева, 17 А</t>
  </si>
  <si>
    <t>ул. Пацаева, 17А</t>
  </si>
  <si>
    <t>ОТЧЕТ
с 01.09.12г. по 31.12.12г. о выполненнии условий  договора на оказания услуг МКД 
№ 14/6 от 10.09.12г., заключенного между ООО "ОЖКС №6" 
и собственниками многоквартирного дома
по адресу: ул. Пацаева, 17 А</t>
  </si>
  <si>
    <t xml:space="preserve">                      Совет МКД в лице ________________________________,с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01.09.12г. по 31.12.2012г.</t>
  </si>
  <si>
    <t>Тариф 01.09.12г-31.12.12г.</t>
  </si>
  <si>
    <t>Сумма 
с 01.09.12г.-31.12.12г., руб.</t>
  </si>
  <si>
    <t>кол-во мес по нов. дог-ру</t>
  </si>
  <si>
    <t xml:space="preserve"> - прочие доходы 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</si>
  <si>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</si>
  <si>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</si>
  <si>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</si>
  <si>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</si>
  <si>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</si>
  <si>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</si>
  <si>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</si>
  <si>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</si>
  <si>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</si>
  <si>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</si>
  <si>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14/6 от 10.09.12г., заключенного между ООО "ОЖКС №6" и собственниками многоквартирного дома
по адресу:  ул. Пацаева, 17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</si>
</sst>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170" fontId="2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E1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50390625" style="0" hidden="1" customWidth="1"/>
  </cols>
  <sheetData>
    <row r="1" spans="1:4" ht="104.25" customHeight="1">
      <c r="A1" s="207" t="s">
        <v>89</v>
      </c>
      <c r="B1" s="208"/>
      <c r="C1" s="208"/>
      <c r="D1" s="208"/>
    </row>
    <row r="2" spans="1:5" ht="72.75" customHeight="1">
      <c r="A2" s="209" t="s">
        <v>90</v>
      </c>
      <c r="B2" s="210"/>
      <c r="C2" s="210"/>
      <c r="D2" s="210"/>
      <c r="E2" t="s">
        <v>80</v>
      </c>
    </row>
    <row r="3" spans="1:5" ht="43.5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7488.1</v>
      </c>
      <c r="E5" s="59">
        <v>7488.1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143</v>
      </c>
      <c r="E6" s="60">
        <v>143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647530.99</v>
      </c>
      <c r="E9" s="59">
        <v>647530.99</v>
      </c>
    </row>
    <row r="10" spans="1:5" ht="16.5" customHeight="1">
      <c r="A10" s="62"/>
      <c r="B10" s="35" t="s">
        <v>110</v>
      </c>
      <c r="C10" s="50" t="s">
        <v>109</v>
      </c>
      <c r="D10" s="59">
        <v>636752.23</v>
      </c>
      <c r="E10" s="59">
        <v>636752.23</v>
      </c>
    </row>
    <row r="11" spans="1:5" ht="15.75">
      <c r="A11" s="62"/>
      <c r="B11" s="57" t="s">
        <v>111</v>
      </c>
      <c r="C11" s="58" t="s">
        <v>109</v>
      </c>
      <c r="D11" s="63">
        <f>D9-D10</f>
        <v>10778.76000000001</v>
      </c>
      <c r="E11" s="63">
        <f>E9-E10</f>
        <v>10778.76000000001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22218.13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22550.47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-332.34000000000015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13661.16</v>
      </c>
      <c r="E17" s="59">
        <v>13661.16</v>
      </c>
    </row>
    <row r="18" spans="1:5" ht="15.75" customHeight="1">
      <c r="A18" s="62"/>
      <c r="B18" s="35" t="s">
        <v>110</v>
      </c>
      <c r="C18" s="50" t="s">
        <v>109</v>
      </c>
      <c r="D18" s="59">
        <v>13798.88</v>
      </c>
      <c r="E18" s="59">
        <v>13798.88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-137.71999999999935</v>
      </c>
      <c r="E19" s="63">
        <f>E17-E18</f>
        <v>-137.71999999999935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683410.28</v>
      </c>
      <c r="E20" s="63">
        <f>E9+E13+E17</f>
        <v>661192.15</v>
      </c>
    </row>
    <row r="21" spans="1:5" ht="15.75">
      <c r="A21" s="62"/>
      <c r="B21" s="57" t="s">
        <v>117</v>
      </c>
      <c r="C21" s="50" t="s">
        <v>109</v>
      </c>
      <c r="D21" s="63">
        <f>D11+D15+D19</f>
        <v>10308.70000000001</v>
      </c>
      <c r="E21" s="63">
        <f>E11+E15+E19</f>
        <v>10641.04000000001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71228.4089</v>
      </c>
      <c r="E23" s="63">
        <f>E9*0.11</f>
        <v>71228.4089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453271.69299999997</v>
      </c>
      <c r="E24" s="63">
        <f>E9*0.7</f>
        <v>453271.69299999997</v>
      </c>
      <c r="F24" t="s">
        <v>80</v>
      </c>
    </row>
    <row r="25" spans="1:5" ht="22.5" customHeight="1">
      <c r="A25" s="65" t="s">
        <v>124</v>
      </c>
      <c r="B25" s="54" t="s">
        <v>125</v>
      </c>
      <c r="C25" s="58" t="s">
        <v>109</v>
      </c>
      <c r="D25" s="67">
        <v>206600</v>
      </c>
      <c r="E25" s="67">
        <v>206600</v>
      </c>
    </row>
    <row r="26" spans="1:5" ht="19.5" customHeight="1">
      <c r="A26" s="68" t="s">
        <v>126</v>
      </c>
      <c r="B26" s="69" t="s">
        <v>127</v>
      </c>
      <c r="C26" s="58"/>
      <c r="D26" s="67">
        <v>320670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1051770.1019000001</v>
      </c>
      <c r="E27" s="63">
        <f>E23+E24+E25+E26</f>
        <v>731100.1019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-368359.8219000001</v>
      </c>
      <c r="E28" s="59">
        <f>E20-E27</f>
        <v>-69907.95189999999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-378668.5219000001</v>
      </c>
      <c r="E29" s="59">
        <f>E28-E21</f>
        <v>-80548.9919</v>
      </c>
    </row>
    <row r="30" spans="1:4" ht="15.75">
      <c r="A30" s="70"/>
      <c r="B30" s="71"/>
      <c r="C30" s="72"/>
      <c r="D30" s="73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211" t="s">
        <v>86</v>
      </c>
      <c r="C34" s="211"/>
      <c r="D34" s="44" t="s">
        <v>80</v>
      </c>
    </row>
    <row r="35" spans="2:4" ht="17.25" customHeight="1">
      <c r="B35" s="212" t="s">
        <v>132</v>
      </c>
      <c r="C35" s="212"/>
      <c r="D35" s="212"/>
    </row>
    <row r="38" ht="15.75">
      <c r="B38" t="s">
        <v>80</v>
      </c>
    </row>
    <row r="41" ht="15.75">
      <c r="B41" t="s">
        <v>80</v>
      </c>
    </row>
    <row r="43" ht="15.75">
      <c r="B43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O14" sqref="O14"/>
    </sheetView>
  </sheetViews>
  <sheetFormatPr defaultColWidth="9.00390625" defaultRowHeight="15.75"/>
  <cols>
    <col min="1" max="1" width="12.125" style="186" bestFit="1" customWidth="1"/>
    <col min="2" max="2" width="10.75390625" style="186" customWidth="1"/>
    <col min="3" max="3" width="12.625" style="186" bestFit="1" customWidth="1"/>
    <col min="4" max="4" width="9.875" style="186" bestFit="1" customWidth="1"/>
    <col min="5" max="6" width="12.625" style="186" bestFit="1" customWidth="1"/>
    <col min="7" max="7" width="9.875" style="186" bestFit="1" customWidth="1"/>
    <col min="8" max="8" width="12.625" style="186" bestFit="1" customWidth="1"/>
    <col min="9" max="9" width="11.625" style="186" customWidth="1"/>
    <col min="10" max="10" width="7.125" style="186" bestFit="1" customWidth="1"/>
    <col min="11" max="11" width="9.00390625" style="186" customWidth="1"/>
    <col min="12" max="12" width="11.875" style="186" bestFit="1" customWidth="1"/>
    <col min="13" max="13" width="12.625" style="186" bestFit="1" customWidth="1"/>
    <col min="14" max="14" width="9.875" style="186" bestFit="1" customWidth="1"/>
    <col min="15" max="15" width="11.375" style="186" bestFit="1" customWidth="1"/>
    <col min="16" max="16" width="11.00390625" style="186" bestFit="1" customWidth="1"/>
    <col min="17" max="17" width="8.50390625" style="186" bestFit="1" customWidth="1"/>
    <col min="18" max="18" width="12.625" style="186" bestFit="1" customWidth="1"/>
    <col min="19" max="19" width="12.875" style="186" customWidth="1"/>
    <col min="20" max="16384" width="9.00390625" style="186" customWidth="1"/>
  </cols>
  <sheetData>
    <row r="1" spans="1:19" ht="109.5" customHeight="1" thickBot="1">
      <c r="A1" s="288" t="s">
        <v>261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5.75" customHeight="1">
      <c r="A2" s="289" t="s">
        <v>165</v>
      </c>
      <c r="B2" s="291" t="s">
        <v>166</v>
      </c>
      <c r="C2" s="291" t="s">
        <v>167</v>
      </c>
      <c r="D2" s="291"/>
      <c r="E2" s="291"/>
      <c r="F2" s="291"/>
      <c r="G2" s="291"/>
      <c r="H2" s="291"/>
      <c r="I2" s="291"/>
      <c r="J2" s="292" t="s">
        <v>168</v>
      </c>
      <c r="K2" s="292"/>
      <c r="L2" s="292"/>
      <c r="M2" s="293" t="s">
        <v>169</v>
      </c>
      <c r="N2" s="291" t="s">
        <v>170</v>
      </c>
      <c r="O2" s="291"/>
      <c r="P2" s="291"/>
      <c r="Q2" s="291"/>
      <c r="R2" s="291"/>
      <c r="S2" s="295" t="s">
        <v>199</v>
      </c>
    </row>
    <row r="3" spans="1:19" ht="15.75">
      <c r="A3" s="290"/>
      <c r="B3" s="282"/>
      <c r="C3" s="297" t="s">
        <v>171</v>
      </c>
      <c r="D3" s="298"/>
      <c r="E3" s="299"/>
      <c r="F3" s="297" t="s">
        <v>172</v>
      </c>
      <c r="G3" s="298"/>
      <c r="H3" s="299"/>
      <c r="I3" s="283" t="s">
        <v>173</v>
      </c>
      <c r="J3" s="284" t="s">
        <v>174</v>
      </c>
      <c r="K3" s="286" t="s">
        <v>175</v>
      </c>
      <c r="L3" s="284" t="s">
        <v>176</v>
      </c>
      <c r="M3" s="294"/>
      <c r="N3" s="283" t="s">
        <v>177</v>
      </c>
      <c r="O3" s="282" t="s">
        <v>178</v>
      </c>
      <c r="P3" s="282" t="s">
        <v>179</v>
      </c>
      <c r="Q3" s="282" t="s">
        <v>180</v>
      </c>
      <c r="R3" s="282" t="s">
        <v>181</v>
      </c>
      <c r="S3" s="296"/>
    </row>
    <row r="4" spans="1:19" ht="47.25" customHeight="1">
      <c r="A4" s="290"/>
      <c r="B4" s="282"/>
      <c r="C4" s="189" t="s">
        <v>182</v>
      </c>
      <c r="D4" s="188" t="s">
        <v>180</v>
      </c>
      <c r="E4" s="188" t="s">
        <v>181</v>
      </c>
      <c r="F4" s="189" t="s">
        <v>182</v>
      </c>
      <c r="G4" s="188" t="s">
        <v>180</v>
      </c>
      <c r="H4" s="188" t="s">
        <v>181</v>
      </c>
      <c r="I4" s="283"/>
      <c r="J4" s="285"/>
      <c r="K4" s="287"/>
      <c r="L4" s="285"/>
      <c r="M4" s="287"/>
      <c r="N4" s="282"/>
      <c r="O4" s="282"/>
      <c r="P4" s="282"/>
      <c r="Q4" s="282"/>
      <c r="R4" s="282"/>
      <c r="S4" s="296"/>
    </row>
    <row r="5" spans="1:19" ht="31.5">
      <c r="A5" s="187">
        <v>1</v>
      </c>
      <c r="B5" s="188">
        <v>2</v>
      </c>
      <c r="C5" s="189">
        <v>3</v>
      </c>
      <c r="D5" s="188">
        <v>4</v>
      </c>
      <c r="E5" s="188" t="s">
        <v>183</v>
      </c>
      <c r="F5" s="189">
        <v>6</v>
      </c>
      <c r="G5" s="188">
        <v>7</v>
      </c>
      <c r="H5" s="188" t="s">
        <v>184</v>
      </c>
      <c r="I5" s="189" t="s">
        <v>185</v>
      </c>
      <c r="J5" s="188">
        <v>10</v>
      </c>
      <c r="K5" s="188">
        <v>11</v>
      </c>
      <c r="L5" s="189">
        <v>12</v>
      </c>
      <c r="M5" s="189" t="s">
        <v>186</v>
      </c>
      <c r="N5" s="188">
        <v>14</v>
      </c>
      <c r="O5" s="189">
        <v>15</v>
      </c>
      <c r="P5" s="188">
        <v>16</v>
      </c>
      <c r="Q5" s="188">
        <v>17</v>
      </c>
      <c r="R5" s="189" t="s">
        <v>187</v>
      </c>
      <c r="S5" s="190" t="s">
        <v>188</v>
      </c>
    </row>
    <row r="6" spans="1:19" ht="15.75">
      <c r="A6" s="191">
        <v>-385526.03</v>
      </c>
      <c r="B6" s="192" t="s">
        <v>256</v>
      </c>
      <c r="C6" s="193">
        <v>430608.56</v>
      </c>
      <c r="D6" s="193">
        <v>19338.75</v>
      </c>
      <c r="E6" s="193">
        <f>C6+D6</f>
        <v>449947.31</v>
      </c>
      <c r="F6" s="193">
        <f>'отчет12(09-12)'!H10</f>
        <v>472216.36</v>
      </c>
      <c r="G6" s="193">
        <f>'отчет12(09-12)'!H11</f>
        <v>20257.42</v>
      </c>
      <c r="H6" s="193">
        <f>SUM(F6:G6)</f>
        <v>492473.77999999997</v>
      </c>
      <c r="I6" s="194">
        <f>E6-H6</f>
        <v>-42526.46999999997</v>
      </c>
      <c r="J6" s="193">
        <v>0</v>
      </c>
      <c r="K6" s="193">
        <v>0</v>
      </c>
      <c r="L6" s="193">
        <v>0</v>
      </c>
      <c r="M6" s="193">
        <f>H6+J6+K6+L6</f>
        <v>492473.77999999997</v>
      </c>
      <c r="N6" s="193">
        <f>'отчет12(09-12)'!J29</f>
        <v>46150.1</v>
      </c>
      <c r="O6" s="193">
        <f>'отчет12(09-12)'!J31-'отчет12(09-12)'!J29</f>
        <v>334522.44</v>
      </c>
      <c r="P6" s="193">
        <f>'отчет12(09-12)'!H35</f>
        <v>682135</v>
      </c>
      <c r="Q6" s="194">
        <f>'отчет12(09-12)'!H37</f>
        <v>0</v>
      </c>
      <c r="R6" s="193">
        <f>SUM(N6:Q6)</f>
        <v>1062807.54</v>
      </c>
      <c r="S6" s="198">
        <f>M6-R6</f>
        <v>-570333.76</v>
      </c>
    </row>
    <row r="7" spans="1:19" ht="15.75">
      <c r="A7" s="191"/>
      <c r="B7" s="192"/>
      <c r="C7" s="193"/>
      <c r="D7" s="193"/>
      <c r="E7" s="193">
        <f>SUM(C7:D7)</f>
        <v>0</v>
      </c>
      <c r="F7" s="193"/>
      <c r="G7" s="193"/>
      <c r="H7" s="193">
        <f>SUM(F7:G7)</f>
        <v>0</v>
      </c>
      <c r="I7" s="194">
        <f>E7-H7</f>
        <v>0</v>
      </c>
      <c r="J7" s="193">
        <v>0</v>
      </c>
      <c r="K7" s="193">
        <v>0</v>
      </c>
      <c r="L7" s="193">
        <v>0</v>
      </c>
      <c r="M7" s="193">
        <f>H7+J7+K7+L7</f>
        <v>0</v>
      </c>
      <c r="N7" s="193"/>
      <c r="O7" s="193"/>
      <c r="P7" s="193"/>
      <c r="Q7" s="194">
        <v>0</v>
      </c>
      <c r="R7" s="193">
        <f>SUM(N7:Q7)</f>
        <v>0</v>
      </c>
      <c r="S7" s="198">
        <f>M7-R7</f>
        <v>0</v>
      </c>
    </row>
    <row r="8" spans="1:19" ht="15.75">
      <c r="A8" s="191"/>
      <c r="B8" s="192"/>
      <c r="C8" s="193"/>
      <c r="D8" s="193"/>
      <c r="E8" s="193">
        <f>SUM(C8:D8)</f>
        <v>0</v>
      </c>
      <c r="F8" s="193"/>
      <c r="G8" s="193"/>
      <c r="H8" s="193">
        <f>SUM(F8:G8)</f>
        <v>0</v>
      </c>
      <c r="I8" s="194">
        <f>E8-H8</f>
        <v>0</v>
      </c>
      <c r="J8" s="193">
        <v>0</v>
      </c>
      <c r="K8" s="193">
        <v>0</v>
      </c>
      <c r="L8" s="193">
        <v>0</v>
      </c>
      <c r="M8" s="193">
        <f>H8+J8+K8+L8</f>
        <v>0</v>
      </c>
      <c r="N8" s="193"/>
      <c r="O8" s="193"/>
      <c r="P8" s="193"/>
      <c r="Q8" s="194">
        <v>0</v>
      </c>
      <c r="R8" s="193">
        <f>SUM(N8:Q8)</f>
        <v>0</v>
      </c>
      <c r="S8" s="198">
        <f>M8-R8</f>
        <v>0</v>
      </c>
    </row>
    <row r="9" spans="1:19" ht="15.75">
      <c r="A9" s="191"/>
      <c r="B9" s="192"/>
      <c r="C9" s="193"/>
      <c r="D9" s="193"/>
      <c r="E9" s="193">
        <f>SUM(C9:D9)</f>
        <v>0</v>
      </c>
      <c r="F9" s="193"/>
      <c r="G9" s="193"/>
      <c r="H9" s="193">
        <f>SUM(F9:G9)</f>
        <v>0</v>
      </c>
      <c r="I9" s="194">
        <f>E9-H9</f>
        <v>0</v>
      </c>
      <c r="J9" s="193">
        <f>'[1]отчет 2011'!I12</f>
        <v>0</v>
      </c>
      <c r="K9" s="193">
        <f>'[1]отчет 2011'!I13</f>
        <v>0</v>
      </c>
      <c r="L9" s="193">
        <f>'[1]отчет 2011'!H13</f>
        <v>0</v>
      </c>
      <c r="M9" s="193">
        <f>H9+J9+K9+L9</f>
        <v>0</v>
      </c>
      <c r="N9" s="193"/>
      <c r="O9" s="193"/>
      <c r="P9" s="193"/>
      <c r="Q9" s="194">
        <v>0</v>
      </c>
      <c r="R9" s="193">
        <f>SUM(N9:Q9)</f>
        <v>0</v>
      </c>
      <c r="S9" s="198">
        <f>M9-R9</f>
        <v>0</v>
      </c>
    </row>
    <row r="10" spans="1:19" ht="15.75">
      <c r="A10" s="191"/>
      <c r="B10" s="192"/>
      <c r="C10" s="193"/>
      <c r="D10" s="193"/>
      <c r="E10" s="193">
        <f>SUM(C10:D10)</f>
        <v>0</v>
      </c>
      <c r="F10" s="193"/>
      <c r="G10" s="193"/>
      <c r="H10" s="193">
        <f>SUM(F10:G10)</f>
        <v>0</v>
      </c>
      <c r="I10" s="194">
        <f>E10-H10</f>
        <v>0</v>
      </c>
      <c r="J10" s="193">
        <v>0</v>
      </c>
      <c r="K10" s="193">
        <v>0</v>
      </c>
      <c r="L10" s="193">
        <v>0</v>
      </c>
      <c r="M10" s="193">
        <f>H10+J10+K10+L10</f>
        <v>0</v>
      </c>
      <c r="N10" s="193"/>
      <c r="O10" s="193"/>
      <c r="P10" s="193"/>
      <c r="Q10" s="194">
        <v>0</v>
      </c>
      <c r="R10" s="193">
        <f>SUM(N10:Q10)</f>
        <v>0</v>
      </c>
      <c r="S10" s="198">
        <f>M10-R10</f>
        <v>0</v>
      </c>
    </row>
    <row r="11" spans="1:19" ht="16.5" thickBot="1">
      <c r="A11" s="199"/>
      <c r="B11" s="200" t="s">
        <v>198</v>
      </c>
      <c r="C11" s="201">
        <f aca="true" t="shared" si="0" ref="C11:R11">SUM(C6:C10)</f>
        <v>430608.56</v>
      </c>
      <c r="D11" s="201">
        <f t="shared" si="0"/>
        <v>19338.75</v>
      </c>
      <c r="E11" s="201">
        <f t="shared" si="0"/>
        <v>449947.31</v>
      </c>
      <c r="F11" s="201">
        <f t="shared" si="0"/>
        <v>472216.36</v>
      </c>
      <c r="G11" s="201">
        <f t="shared" si="0"/>
        <v>20257.42</v>
      </c>
      <c r="H11" s="201">
        <f t="shared" si="0"/>
        <v>492473.77999999997</v>
      </c>
      <c r="I11" s="201">
        <f t="shared" si="0"/>
        <v>-42526.46999999997</v>
      </c>
      <c r="J11" s="201">
        <f t="shared" si="0"/>
        <v>0</v>
      </c>
      <c r="K11" s="201">
        <f t="shared" si="0"/>
        <v>0</v>
      </c>
      <c r="L11" s="201">
        <f t="shared" si="0"/>
        <v>0</v>
      </c>
      <c r="M11" s="201">
        <f t="shared" si="0"/>
        <v>492473.77999999997</v>
      </c>
      <c r="N11" s="201">
        <f t="shared" si="0"/>
        <v>46150.1</v>
      </c>
      <c r="O11" s="201">
        <f t="shared" si="0"/>
        <v>334522.44</v>
      </c>
      <c r="P11" s="201">
        <f t="shared" si="0"/>
        <v>682135</v>
      </c>
      <c r="Q11" s="201">
        <f t="shared" si="0"/>
        <v>0</v>
      </c>
      <c r="R11" s="201">
        <f t="shared" si="0"/>
        <v>1062807.54</v>
      </c>
      <c r="S11" s="202">
        <f>A6+SUM(S6:S10)</f>
        <v>-955859.79</v>
      </c>
    </row>
    <row r="14" spans="15:19" ht="16.5">
      <c r="O14" s="203"/>
      <c r="P14" s="203"/>
      <c r="Q14" s="203"/>
      <c r="R14" s="203"/>
      <c r="S14" s="204"/>
    </row>
    <row r="15" spans="15:19" ht="16.5">
      <c r="O15" s="203"/>
      <c r="P15" s="203"/>
      <c r="Q15" s="203"/>
      <c r="R15" s="203"/>
      <c r="S15" s="203"/>
    </row>
    <row r="16" spans="2:9" s="205" customFormat="1" ht="18.75">
      <c r="B16" s="281" t="s">
        <v>257</v>
      </c>
      <c r="C16" s="281"/>
      <c r="D16" s="281"/>
      <c r="E16" s="281"/>
      <c r="F16" s="281" t="s">
        <v>258</v>
      </c>
      <c r="G16" s="281"/>
      <c r="H16" s="281"/>
      <c r="I16" s="281"/>
    </row>
    <row r="17" s="205" customFormat="1" ht="18.75"/>
    <row r="19" spans="2:8" ht="29.25" customHeight="1">
      <c r="B19" s="206" t="s">
        <v>259</v>
      </c>
      <c r="F19" s="281" t="s">
        <v>260</v>
      </c>
      <c r="G19" s="281"/>
      <c r="H19" s="281"/>
    </row>
    <row r="21" ht="15.75">
      <c r="A21" s="186" t="s">
        <v>255</v>
      </c>
    </row>
  </sheetData>
  <sheetProtection/>
  <mergeCells count="22">
    <mergeCell ref="C3:E3"/>
    <mergeCell ref="F3:H3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50390625" style="0" customWidth="1"/>
    <col min="9" max="9" width="9.875" style="0" bestFit="1" customWidth="1"/>
  </cols>
  <sheetData>
    <row r="1" spans="1:8" ht="121.5" customHeight="1">
      <c r="A1" s="207" t="s">
        <v>88</v>
      </c>
      <c r="B1" s="207"/>
      <c r="C1" s="207"/>
      <c r="D1" s="207"/>
      <c r="E1" s="207"/>
      <c r="F1" s="207"/>
      <c r="G1" s="207"/>
      <c r="H1" s="207"/>
    </row>
    <row r="2" spans="1:8" ht="78" customHeight="1">
      <c r="A2" s="220" t="s">
        <v>84</v>
      </c>
      <c r="B2" s="220"/>
      <c r="C2" s="220"/>
      <c r="D2" s="220"/>
      <c r="E2" s="220"/>
      <c r="F2" s="220"/>
      <c r="G2" s="220"/>
      <c r="H2" s="220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215"/>
      <c r="C7" s="215"/>
      <c r="D7" s="215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216" t="s">
        <v>64</v>
      </c>
      <c r="C8" s="217"/>
      <c r="D8" s="217"/>
      <c r="E8" s="217"/>
      <c r="F8" s="218"/>
      <c r="G8" s="15"/>
      <c r="H8" s="16"/>
    </row>
    <row r="9" spans="1:8" ht="15.75" customHeight="1">
      <c r="A9" s="23"/>
      <c r="B9" s="222" t="s">
        <v>73</v>
      </c>
      <c r="C9" s="222"/>
      <c r="D9" s="222"/>
      <c r="E9" s="222"/>
      <c r="F9" s="222"/>
      <c r="G9" s="15"/>
      <c r="H9" s="32">
        <v>63467.04</v>
      </c>
    </row>
    <row r="10" spans="1:8" ht="15.75">
      <c r="A10" s="23">
        <v>1</v>
      </c>
      <c r="B10" s="213" t="s">
        <v>62</v>
      </c>
      <c r="C10" s="213"/>
      <c r="D10" s="213"/>
      <c r="E10" s="213"/>
      <c r="F10" s="213"/>
      <c r="G10" s="17"/>
      <c r="H10" s="35">
        <v>1103370.71</v>
      </c>
    </row>
    <row r="11" spans="1:8" ht="15.75">
      <c r="A11" s="23"/>
      <c r="B11" s="213" t="s">
        <v>75</v>
      </c>
      <c r="C11" s="213"/>
      <c r="D11" s="213"/>
      <c r="E11" s="213"/>
      <c r="F11" s="213"/>
      <c r="G11" s="17"/>
      <c r="H11" s="49">
        <f>H10*0.9</f>
        <v>993033.639</v>
      </c>
    </row>
    <row r="12" spans="1:8" ht="15.75">
      <c r="A12" s="23"/>
      <c r="B12" s="213" t="s">
        <v>76</v>
      </c>
      <c r="C12" s="213"/>
      <c r="D12" s="213"/>
      <c r="E12" s="213"/>
      <c r="F12" s="213"/>
      <c r="G12" s="17"/>
      <c r="H12" s="36">
        <f>H10-H11</f>
        <v>110337.071</v>
      </c>
    </row>
    <row r="13" spans="1:8" ht="15.75">
      <c r="A13" s="23">
        <v>2</v>
      </c>
      <c r="B13" s="213" t="s">
        <v>63</v>
      </c>
      <c r="C13" s="213"/>
      <c r="D13" s="213"/>
      <c r="E13" s="213"/>
      <c r="F13" s="213"/>
      <c r="G13" s="17"/>
      <c r="H13" s="18">
        <v>1088126.43</v>
      </c>
    </row>
    <row r="14" spans="1:8" ht="15.75">
      <c r="A14" s="23">
        <v>3</v>
      </c>
      <c r="B14" s="213" t="s">
        <v>67</v>
      </c>
      <c r="C14" s="213"/>
      <c r="D14" s="213"/>
      <c r="E14" s="213"/>
      <c r="F14" s="213"/>
      <c r="G14" s="17"/>
      <c r="H14" s="36">
        <f>H10-H13</f>
        <v>15244.280000000028</v>
      </c>
    </row>
    <row r="15" spans="1:9" ht="15.75">
      <c r="A15" s="23">
        <v>4</v>
      </c>
      <c r="B15" s="222" t="s">
        <v>74</v>
      </c>
      <c r="C15" s="222"/>
      <c r="D15" s="222"/>
      <c r="E15" s="222"/>
      <c r="F15" s="222"/>
      <c r="G15" s="17"/>
      <c r="H15" s="37">
        <f>H9+H10-H13</f>
        <v>78711.32000000007</v>
      </c>
      <c r="I15" s="31"/>
    </row>
    <row r="16" spans="1:8" ht="18.75">
      <c r="A16" s="23">
        <v>5</v>
      </c>
      <c r="B16" s="223" t="s">
        <v>65</v>
      </c>
      <c r="C16" s="223"/>
      <c r="D16" s="223"/>
      <c r="E16" s="223"/>
      <c r="F16" s="223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214" t="s">
        <v>18</v>
      </c>
      <c r="C18" s="214"/>
      <c r="D18" s="214"/>
      <c r="E18" s="6" t="s">
        <v>32</v>
      </c>
      <c r="F18" s="6" t="s">
        <v>24</v>
      </c>
      <c r="G18" s="12">
        <v>1.06</v>
      </c>
      <c r="H18" s="39">
        <f>ROUND(G18*$E$3*12,2)</f>
        <v>95681.11</v>
      </c>
    </row>
    <row r="19" spans="1:8" ht="15.75">
      <c r="A19" s="23" t="s">
        <v>41</v>
      </c>
      <c r="B19" s="214" t="s">
        <v>17</v>
      </c>
      <c r="C19" s="214"/>
      <c r="D19" s="214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23468.95</v>
      </c>
    </row>
    <row r="20" spans="1:8" ht="15.75">
      <c r="A20" s="26" t="s">
        <v>42</v>
      </c>
      <c r="B20" s="213" t="s">
        <v>23</v>
      </c>
      <c r="C20" s="213"/>
      <c r="D20" s="213"/>
      <c r="E20" s="7" t="s">
        <v>8</v>
      </c>
      <c r="F20" s="7" t="s">
        <v>20</v>
      </c>
      <c r="G20" s="12">
        <v>0.9</v>
      </c>
      <c r="H20" s="39">
        <f t="shared" si="0"/>
        <v>81238.68</v>
      </c>
    </row>
    <row r="21" spans="1:8" ht="33" customHeight="1">
      <c r="A21" s="23" t="s">
        <v>43</v>
      </c>
      <c r="B21" s="219" t="s">
        <v>31</v>
      </c>
      <c r="C21" s="219"/>
      <c r="D21" s="219"/>
      <c r="E21" s="8" t="s">
        <v>9</v>
      </c>
      <c r="F21" s="8" t="s">
        <v>10</v>
      </c>
      <c r="G21" s="12">
        <v>0.46</v>
      </c>
      <c r="H21" s="39">
        <f t="shared" si="0"/>
        <v>41521.99</v>
      </c>
    </row>
    <row r="22" spans="1:8" ht="63">
      <c r="A22" s="26" t="s">
        <v>46</v>
      </c>
      <c r="B22" s="213" t="s">
        <v>27</v>
      </c>
      <c r="C22" s="213"/>
      <c r="D22" s="213"/>
      <c r="E22" s="7" t="s">
        <v>34</v>
      </c>
      <c r="F22" s="7" t="s">
        <v>25</v>
      </c>
      <c r="G22" s="12">
        <v>0.11</v>
      </c>
      <c r="H22" s="39">
        <f t="shared" si="0"/>
        <v>9929.17</v>
      </c>
    </row>
    <row r="23" spans="1:8" ht="31.5">
      <c r="A23" s="23" t="s">
        <v>44</v>
      </c>
      <c r="B23" s="213" t="s">
        <v>11</v>
      </c>
      <c r="C23" s="213"/>
      <c r="D23" s="213"/>
      <c r="E23" s="7" t="s">
        <v>9</v>
      </c>
      <c r="F23" s="7" t="s">
        <v>12</v>
      </c>
      <c r="G23" s="12">
        <v>1.89</v>
      </c>
      <c r="H23" s="39">
        <f t="shared" si="0"/>
        <v>170601.23</v>
      </c>
    </row>
    <row r="24" spans="1:8" ht="15.75">
      <c r="A24" s="26" t="s">
        <v>45</v>
      </c>
      <c r="B24" s="213" t="s">
        <v>26</v>
      </c>
      <c r="C24" s="221"/>
      <c r="D24" s="221"/>
      <c r="E24" s="9" t="s">
        <v>13</v>
      </c>
      <c r="F24" s="9" t="s">
        <v>14</v>
      </c>
      <c r="G24" s="12">
        <v>0.04</v>
      </c>
      <c r="H24" s="39">
        <f t="shared" si="0"/>
        <v>3610.61</v>
      </c>
    </row>
    <row r="25" spans="1:8" ht="36.75" customHeight="1">
      <c r="A25" s="23" t="s">
        <v>47</v>
      </c>
      <c r="B25" s="224" t="s">
        <v>81</v>
      </c>
      <c r="C25" s="225"/>
      <c r="D25" s="226"/>
      <c r="E25" s="9" t="s">
        <v>13</v>
      </c>
      <c r="F25" s="45" t="s">
        <v>82</v>
      </c>
      <c r="G25" s="12">
        <v>0.22</v>
      </c>
      <c r="H25" s="39">
        <f t="shared" si="0"/>
        <v>19858.34</v>
      </c>
    </row>
    <row r="26" spans="1:8" ht="31.5">
      <c r="A26" s="26" t="s">
        <v>48</v>
      </c>
      <c r="B26" s="213" t="s">
        <v>71</v>
      </c>
      <c r="C26" s="213"/>
      <c r="D26" s="213"/>
      <c r="E26" s="6" t="s">
        <v>35</v>
      </c>
      <c r="F26" s="46" t="s">
        <v>82</v>
      </c>
      <c r="G26" s="12">
        <v>2.5</v>
      </c>
      <c r="H26" s="39">
        <f t="shared" si="0"/>
        <v>225663</v>
      </c>
    </row>
    <row r="27" spans="1:8" ht="31.5">
      <c r="A27" s="23" t="s">
        <v>49</v>
      </c>
      <c r="B27" s="214" t="s">
        <v>15</v>
      </c>
      <c r="C27" s="214"/>
      <c r="D27" s="214"/>
      <c r="E27" s="6" t="s">
        <v>35</v>
      </c>
      <c r="F27" s="46" t="s">
        <v>82</v>
      </c>
      <c r="G27" s="12">
        <v>0.46</v>
      </c>
      <c r="H27" s="39">
        <f t="shared" si="0"/>
        <v>41521.99</v>
      </c>
    </row>
    <row r="28" spans="1:8" ht="31.5">
      <c r="A28" s="26" t="s">
        <v>50</v>
      </c>
      <c r="B28" s="227" t="s">
        <v>36</v>
      </c>
      <c r="C28" s="228"/>
      <c r="D28" s="228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170601.23</v>
      </c>
    </row>
    <row r="29" spans="1:8" ht="31.5">
      <c r="A29" s="23" t="s">
        <v>51</v>
      </c>
      <c r="B29" s="213" t="s">
        <v>28</v>
      </c>
      <c r="C29" s="213"/>
      <c r="D29" s="213"/>
      <c r="E29" s="6" t="s">
        <v>35</v>
      </c>
      <c r="F29" s="46" t="s">
        <v>82</v>
      </c>
      <c r="G29" s="13">
        <v>0.25</v>
      </c>
      <c r="H29" s="39">
        <f t="shared" si="0"/>
        <v>22566.3</v>
      </c>
    </row>
    <row r="30" spans="1:8" ht="31.5">
      <c r="A30" s="26" t="s">
        <v>52</v>
      </c>
      <c r="B30" s="213" t="s">
        <v>29</v>
      </c>
      <c r="C30" s="213"/>
      <c r="D30" s="213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221" t="s">
        <v>21</v>
      </c>
      <c r="C31" s="221"/>
      <c r="D31" s="221"/>
      <c r="E31" s="6" t="s">
        <v>35</v>
      </c>
      <c r="F31" s="46" t="s">
        <v>82</v>
      </c>
      <c r="G31" s="9">
        <v>1.26</v>
      </c>
      <c r="H31" s="39">
        <f t="shared" si="0"/>
        <v>113734.15</v>
      </c>
    </row>
    <row r="32" spans="1:8" ht="15.75">
      <c r="A32" s="23" t="s">
        <v>54</v>
      </c>
      <c r="B32" s="195" t="s">
        <v>30</v>
      </c>
      <c r="C32" s="195"/>
      <c r="D32" s="195"/>
      <c r="E32" s="14"/>
      <c r="F32" s="46"/>
      <c r="G32" s="21">
        <f>SUM(G18:G31)</f>
        <v>11.299999999999999</v>
      </c>
      <c r="H32" s="40">
        <f>SUM(H18:H31)</f>
        <v>1019996.7500000001</v>
      </c>
    </row>
    <row r="33" spans="1:8" ht="15.75">
      <c r="A33" s="23" t="s">
        <v>55</v>
      </c>
      <c r="B33" s="222" t="s">
        <v>37</v>
      </c>
      <c r="C33" s="221"/>
      <c r="D33" s="221"/>
      <c r="E33" s="14"/>
      <c r="F33" s="46" t="s">
        <v>82</v>
      </c>
      <c r="G33" s="24">
        <f>H33/E3/12</f>
        <v>0.8319928388792137</v>
      </c>
      <c r="H33" s="28">
        <v>75100</v>
      </c>
    </row>
    <row r="34" spans="1:8" ht="18.75">
      <c r="A34" s="25" t="s">
        <v>56</v>
      </c>
      <c r="B34" s="177" t="s">
        <v>69</v>
      </c>
      <c r="C34" s="177"/>
      <c r="D34" s="177"/>
      <c r="E34" s="177"/>
      <c r="F34" s="177"/>
      <c r="G34" s="5">
        <f>SUM(G32:G33)</f>
        <v>12.131992838879214</v>
      </c>
      <c r="H34" s="41">
        <f>SUM(H32:H33)</f>
        <v>1095096.75</v>
      </c>
    </row>
    <row r="35" spans="1:8" ht="18.75">
      <c r="A35" s="23" t="s">
        <v>61</v>
      </c>
      <c r="B35" s="174" t="s">
        <v>38</v>
      </c>
      <c r="C35" s="175"/>
      <c r="D35" s="175"/>
      <c r="E35" s="175"/>
      <c r="F35" s="175"/>
      <c r="G35" s="176"/>
      <c r="H35" s="29"/>
    </row>
    <row r="36" spans="1:8" ht="15.75" customHeight="1">
      <c r="A36" s="23" t="s">
        <v>57</v>
      </c>
      <c r="B36" s="196" t="s">
        <v>68</v>
      </c>
      <c r="C36" s="197"/>
      <c r="D36" s="197"/>
      <c r="E36" s="197"/>
      <c r="F36" s="197"/>
      <c r="G36" s="173"/>
      <c r="H36" s="30">
        <v>-80548.99</v>
      </c>
    </row>
    <row r="37" spans="1:8" ht="15.75" customHeight="1">
      <c r="A37" s="23" t="s">
        <v>58</v>
      </c>
      <c r="B37" s="196" t="s">
        <v>72</v>
      </c>
      <c r="C37" s="197"/>
      <c r="D37" s="197"/>
      <c r="E37" s="197"/>
      <c r="F37" s="197"/>
      <c r="G37" s="173"/>
      <c r="H37" s="42">
        <f>H13-H34</f>
        <v>-6970.320000000065</v>
      </c>
    </row>
    <row r="38" spans="1:8" ht="15.75" customHeight="1">
      <c r="A38" s="23" t="s">
        <v>59</v>
      </c>
      <c r="B38" s="196" t="s">
        <v>70</v>
      </c>
      <c r="C38" s="197"/>
      <c r="D38" s="197"/>
      <c r="E38" s="197"/>
      <c r="F38" s="197"/>
      <c r="G38" s="173"/>
      <c r="H38" s="42">
        <f>H36+H37</f>
        <v>-87519.31000000007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212" t="s">
        <v>87</v>
      </c>
      <c r="C44" s="212"/>
      <c r="D44" s="212"/>
    </row>
  </sheetData>
  <sheetProtection/>
  <mergeCells count="34"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  <mergeCell ref="B22:D22"/>
    <mergeCell ref="B19:D19"/>
    <mergeCell ref="B20:D20"/>
    <mergeCell ref="B18:D18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00390625" style="0" customWidth="1"/>
    <col min="6" max="6" width="18.00390625" style="0" hidden="1" customWidth="1"/>
    <col min="7" max="7" width="0.1289062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7" t="s">
        <v>195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54" customHeight="1">
      <c r="A2" s="240" t="s">
        <v>196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  <c r="I3" s="88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41" t="s">
        <v>141</v>
      </c>
      <c r="C7" s="242"/>
      <c r="D7" s="243"/>
      <c r="E7" s="11" t="s">
        <v>6</v>
      </c>
      <c r="F7" s="11" t="s">
        <v>7</v>
      </c>
      <c r="G7" s="33" t="s">
        <v>22</v>
      </c>
      <c r="H7" s="244" t="s">
        <v>142</v>
      </c>
      <c r="I7" s="245"/>
      <c r="J7" s="246"/>
    </row>
    <row r="8" spans="1:10" ht="15.75">
      <c r="A8" s="23">
        <v>1</v>
      </c>
      <c r="B8" s="216"/>
      <c r="C8" s="217"/>
      <c r="D8" s="217"/>
      <c r="E8" s="217"/>
      <c r="F8" s="218"/>
      <c r="G8" s="90"/>
      <c r="H8" s="91" t="s">
        <v>143</v>
      </c>
      <c r="I8" s="92" t="s">
        <v>144</v>
      </c>
      <c r="J8" s="92" t="s">
        <v>145</v>
      </c>
    </row>
    <row r="9" spans="1:10" ht="15.75">
      <c r="A9" s="23"/>
      <c r="B9" s="216" t="s">
        <v>146</v>
      </c>
      <c r="C9" s="217"/>
      <c r="D9" s="217"/>
      <c r="E9" s="217"/>
      <c r="F9" s="218"/>
      <c r="G9" s="79"/>
      <c r="H9" s="79"/>
      <c r="I9" s="58"/>
      <c r="J9" s="92"/>
    </row>
    <row r="10" spans="1:10" ht="15.75" customHeight="1">
      <c r="A10" s="93"/>
      <c r="B10" s="238" t="s">
        <v>147</v>
      </c>
      <c r="C10" s="238"/>
      <c r="D10" s="238"/>
      <c r="E10" s="238"/>
      <c r="F10" s="238"/>
      <c r="G10" s="15"/>
      <c r="H10" s="94">
        <v>1072128.47</v>
      </c>
      <c r="I10" s="76"/>
      <c r="J10" s="95">
        <f>H10+I10</f>
        <v>1072128.47</v>
      </c>
    </row>
    <row r="11" spans="1:10" ht="15.75" customHeight="1">
      <c r="A11" s="93"/>
      <c r="B11" s="238" t="s">
        <v>148</v>
      </c>
      <c r="C11" s="238"/>
      <c r="D11" s="238"/>
      <c r="E11" s="238"/>
      <c r="F11" s="238"/>
      <c r="G11" s="15"/>
      <c r="H11" s="16">
        <v>43811.13</v>
      </c>
      <c r="I11" s="76"/>
      <c r="J11" s="95">
        <f>H11+I11</f>
        <v>43811.13</v>
      </c>
    </row>
    <row r="12" spans="1:10" ht="15.75" customHeight="1">
      <c r="A12" s="23"/>
      <c r="B12" s="238" t="s">
        <v>149</v>
      </c>
      <c r="C12" s="238"/>
      <c r="D12" s="238"/>
      <c r="E12" s="238"/>
      <c r="F12" s="238"/>
      <c r="G12" s="15"/>
      <c r="H12" s="94"/>
      <c r="I12" s="76">
        <v>0</v>
      </c>
      <c r="J12" s="95">
        <f>H12+I12</f>
        <v>0</v>
      </c>
    </row>
    <row r="13" spans="1:10" ht="15.75" customHeight="1">
      <c r="A13" s="23"/>
      <c r="B13" s="238" t="s">
        <v>150</v>
      </c>
      <c r="C13" s="238"/>
      <c r="D13" s="238"/>
      <c r="E13" s="238"/>
      <c r="F13" s="238"/>
      <c r="G13" s="15"/>
      <c r="H13" s="94"/>
      <c r="I13" s="96">
        <v>0</v>
      </c>
      <c r="J13" s="95">
        <f>H13+I13</f>
        <v>0</v>
      </c>
    </row>
    <row r="14" spans="1:10" ht="15.75" customHeight="1">
      <c r="A14" s="23"/>
      <c r="B14" s="222" t="s">
        <v>151</v>
      </c>
      <c r="C14" s="222"/>
      <c r="D14" s="222"/>
      <c r="E14" s="222"/>
      <c r="F14" s="222"/>
      <c r="G14" s="15"/>
      <c r="H14" s="97">
        <f>SUM(H10:H12)</f>
        <v>1115939.5999999999</v>
      </c>
      <c r="I14" s="98">
        <f>SUM(I10:I12)</f>
        <v>0</v>
      </c>
      <c r="J14" s="97">
        <f>SUM(J10:J12)</f>
        <v>1115939.5999999999</v>
      </c>
    </row>
    <row r="15" spans="1:10" ht="18.75" customHeight="1">
      <c r="A15" s="23">
        <v>2</v>
      </c>
      <c r="B15" s="223" t="s">
        <v>65</v>
      </c>
      <c r="C15" s="223"/>
      <c r="D15" s="223"/>
      <c r="E15" s="223"/>
      <c r="F15" s="223"/>
      <c r="G15" s="15"/>
      <c r="H15" s="94"/>
      <c r="I15" s="76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1"/>
      <c r="H16" s="91"/>
      <c r="I16" s="89"/>
      <c r="J16" s="92"/>
    </row>
    <row r="17" spans="1:10" ht="28.5" customHeight="1">
      <c r="A17" s="26"/>
      <c r="B17" s="239" t="s">
        <v>200</v>
      </c>
      <c r="C17" s="239"/>
      <c r="D17" s="239"/>
      <c r="E17" s="99" t="s">
        <v>32</v>
      </c>
      <c r="F17" s="81" t="s">
        <v>24</v>
      </c>
      <c r="G17" s="82">
        <v>1.06</v>
      </c>
      <c r="H17" s="100">
        <f>ROUND(G17*$E$3*12,2)</f>
        <v>95681.11</v>
      </c>
      <c r="I17" s="101">
        <f>$I$12*0.08</f>
        <v>0</v>
      </c>
      <c r="J17" s="102">
        <f>SUM(H17:I17)</f>
        <v>95681.11</v>
      </c>
    </row>
    <row r="18" spans="1:10" ht="36" customHeight="1">
      <c r="A18" s="23"/>
      <c r="B18" s="236" t="s">
        <v>17</v>
      </c>
      <c r="C18" s="236"/>
      <c r="D18" s="236"/>
      <c r="E18" s="99" t="s">
        <v>32</v>
      </c>
      <c r="F18" s="81" t="s">
        <v>19</v>
      </c>
      <c r="G18" s="82">
        <v>0.26</v>
      </c>
      <c r="H18" s="100">
        <f>ROUND(G18*$E$3*12,2)</f>
        <v>23468.95</v>
      </c>
      <c r="I18" s="101">
        <f>$I$12*0.02</f>
        <v>0</v>
      </c>
      <c r="J18" s="102">
        <f>SUM(H18:I18)</f>
        <v>23468.95</v>
      </c>
    </row>
    <row r="19" spans="1:10" ht="20.25" customHeight="1">
      <c r="A19" s="23"/>
      <c r="B19" s="235" t="s">
        <v>23</v>
      </c>
      <c r="C19" s="235"/>
      <c r="D19" s="235"/>
      <c r="E19" s="103" t="s">
        <v>153</v>
      </c>
      <c r="F19" s="84" t="s">
        <v>20</v>
      </c>
      <c r="G19" s="82">
        <v>0.9</v>
      </c>
      <c r="H19" s="100">
        <f>J19-I19</f>
        <v>88049.8</v>
      </c>
      <c r="I19" s="101">
        <f>$I$12*0.07</f>
        <v>0</v>
      </c>
      <c r="J19" s="104">
        <v>88049.8</v>
      </c>
    </row>
    <row r="20" spans="1:10" ht="20.25" customHeight="1">
      <c r="A20" s="26"/>
      <c r="B20" s="239" t="s">
        <v>31</v>
      </c>
      <c r="C20" s="239"/>
      <c r="D20" s="239"/>
      <c r="E20" s="105" t="s">
        <v>9</v>
      </c>
      <c r="F20" s="85" t="s">
        <v>10</v>
      </c>
      <c r="G20" s="82">
        <v>0.46</v>
      </c>
      <c r="H20" s="100">
        <f>ROUND(G20*$E$3*12,2)</f>
        <v>41521.99</v>
      </c>
      <c r="I20" s="101">
        <f>$I$12*0.04</f>
        <v>0</v>
      </c>
      <c r="J20" s="102">
        <f>SUM(H20:I20)</f>
        <v>41521.99</v>
      </c>
    </row>
    <row r="21" spans="1:10" ht="65.25" customHeight="1">
      <c r="A21" s="23"/>
      <c r="B21" s="235" t="s">
        <v>27</v>
      </c>
      <c r="C21" s="235"/>
      <c r="D21" s="235"/>
      <c r="E21" s="103" t="s">
        <v>154</v>
      </c>
      <c r="F21" s="84" t="s">
        <v>25</v>
      </c>
      <c r="G21" s="82">
        <v>0.11</v>
      </c>
      <c r="H21" s="100">
        <f>J21-I21</f>
        <v>5476.09</v>
      </c>
      <c r="I21" s="101">
        <f>$I$12*0.01</f>
        <v>0</v>
      </c>
      <c r="J21" s="104">
        <v>5476.09</v>
      </c>
    </row>
    <row r="22" spans="1:10" ht="20.25" customHeight="1">
      <c r="A22" s="26"/>
      <c r="B22" s="235" t="s">
        <v>11</v>
      </c>
      <c r="C22" s="235"/>
      <c r="D22" s="235"/>
      <c r="E22" s="103" t="s">
        <v>9</v>
      </c>
      <c r="F22" s="84" t="s">
        <v>12</v>
      </c>
      <c r="G22" s="82">
        <v>1.93</v>
      </c>
      <c r="H22" s="100">
        <f>J22-I22</f>
        <v>174211.836</v>
      </c>
      <c r="I22" s="101">
        <f>$I$12*0.15</f>
        <v>0</v>
      </c>
      <c r="J22" s="104">
        <f>G22*E3*12</f>
        <v>174211.836</v>
      </c>
    </row>
    <row r="23" spans="1:10" ht="31.5" customHeight="1">
      <c r="A23" s="26"/>
      <c r="B23" s="235" t="s">
        <v>26</v>
      </c>
      <c r="C23" s="168"/>
      <c r="D23" s="168"/>
      <c r="E23" s="106" t="s">
        <v>13</v>
      </c>
      <c r="F23" s="78" t="s">
        <v>14</v>
      </c>
      <c r="G23" s="82">
        <v>0.04</v>
      </c>
      <c r="H23" s="100">
        <f>J23-I23</f>
        <v>5594.4</v>
      </c>
      <c r="I23" s="101">
        <f>$I$12*0.003</f>
        <v>0</v>
      </c>
      <c r="J23" s="104">
        <v>5594.4</v>
      </c>
    </row>
    <row r="24" spans="1:10" ht="28.5" customHeight="1">
      <c r="A24" s="23"/>
      <c r="B24" s="235" t="s">
        <v>71</v>
      </c>
      <c r="C24" s="235"/>
      <c r="D24" s="235"/>
      <c r="E24" s="99" t="s">
        <v>35</v>
      </c>
      <c r="F24" s="46" t="s">
        <v>82</v>
      </c>
      <c r="G24" s="82">
        <v>1.87</v>
      </c>
      <c r="H24" s="100">
        <f aca="true" t="shared" si="0" ref="H24:H29">ROUND(G24*$E$3*12,2)</f>
        <v>168795.92</v>
      </c>
      <c r="I24" s="101">
        <f>$I$12*0.19</f>
        <v>0</v>
      </c>
      <c r="J24" s="102">
        <f aca="true" t="shared" si="1" ref="J24:J29">SUM(H24:I24)</f>
        <v>168795.92</v>
      </c>
    </row>
    <row r="25" spans="1:10" ht="26.25" customHeight="1">
      <c r="A25" s="23"/>
      <c r="B25" s="236" t="s">
        <v>15</v>
      </c>
      <c r="C25" s="236"/>
      <c r="D25" s="236"/>
      <c r="E25" s="99" t="s">
        <v>35</v>
      </c>
      <c r="F25" s="46" t="s">
        <v>82</v>
      </c>
      <c r="G25" s="82">
        <v>0.46</v>
      </c>
      <c r="H25" s="107">
        <f t="shared" si="0"/>
        <v>41521.99</v>
      </c>
      <c r="I25" s="101">
        <v>0</v>
      </c>
      <c r="J25" s="102">
        <f t="shared" si="1"/>
        <v>41521.99</v>
      </c>
    </row>
    <row r="26" spans="1:10" ht="30" customHeight="1">
      <c r="A26" s="23"/>
      <c r="B26" s="237" t="s">
        <v>36</v>
      </c>
      <c r="C26" s="233"/>
      <c r="D26" s="234"/>
      <c r="E26" s="99" t="s">
        <v>35</v>
      </c>
      <c r="F26" s="46" t="s">
        <v>82</v>
      </c>
      <c r="G26" s="48">
        <f>2.99-G27-G28</f>
        <v>2.74</v>
      </c>
      <c r="H26" s="107">
        <f t="shared" si="0"/>
        <v>247326.65</v>
      </c>
      <c r="I26" s="108">
        <f>$I$12*(0.18+0.02)</f>
        <v>0</v>
      </c>
      <c r="J26" s="102">
        <f t="shared" si="1"/>
        <v>247326.65</v>
      </c>
    </row>
    <row r="27" spans="1:10" ht="26.25" customHeight="1">
      <c r="A27" s="26"/>
      <c r="B27" s="235" t="s">
        <v>155</v>
      </c>
      <c r="C27" s="235"/>
      <c r="D27" s="235"/>
      <c r="E27" s="99" t="s">
        <v>35</v>
      </c>
      <c r="F27" s="46" t="s">
        <v>82</v>
      </c>
      <c r="G27" s="48">
        <v>0.25</v>
      </c>
      <c r="H27" s="107">
        <f t="shared" si="0"/>
        <v>22566.3</v>
      </c>
      <c r="I27" s="108">
        <f>$I$12*0.02</f>
        <v>0</v>
      </c>
      <c r="J27" s="102">
        <f t="shared" si="1"/>
        <v>22566.3</v>
      </c>
    </row>
    <row r="28" spans="1:10" ht="28.5" customHeight="1">
      <c r="A28" s="23"/>
      <c r="B28" s="235" t="s">
        <v>156</v>
      </c>
      <c r="C28" s="235"/>
      <c r="D28" s="235"/>
      <c r="E28" s="103" t="s">
        <v>9</v>
      </c>
      <c r="F28" s="46" t="s">
        <v>82</v>
      </c>
      <c r="G28" s="48">
        <v>0</v>
      </c>
      <c r="H28" s="107">
        <f t="shared" si="0"/>
        <v>0</v>
      </c>
      <c r="I28" s="108">
        <v>0</v>
      </c>
      <c r="J28" s="102">
        <f t="shared" si="1"/>
        <v>0</v>
      </c>
    </row>
    <row r="29" spans="1:10" ht="27" customHeight="1">
      <c r="A29" s="23"/>
      <c r="B29" s="168" t="s">
        <v>21</v>
      </c>
      <c r="C29" s="168"/>
      <c r="D29" s="168"/>
      <c r="E29" s="103" t="s">
        <v>9</v>
      </c>
      <c r="F29" s="46" t="s">
        <v>82</v>
      </c>
      <c r="G29" s="78">
        <v>1.26</v>
      </c>
      <c r="H29" s="100">
        <f t="shared" si="0"/>
        <v>113734.15</v>
      </c>
      <c r="I29" s="101">
        <f>$I$12*0.1</f>
        <v>0</v>
      </c>
      <c r="J29" s="102">
        <f t="shared" si="1"/>
        <v>113734.15</v>
      </c>
    </row>
    <row r="30" spans="1:10" ht="21.75" customHeight="1">
      <c r="A30" s="23"/>
      <c r="B30" s="229" t="s">
        <v>157</v>
      </c>
      <c r="C30" s="230"/>
      <c r="D30" s="231"/>
      <c r="E30" s="103" t="s">
        <v>9</v>
      </c>
      <c r="F30" s="46"/>
      <c r="G30" s="78"/>
      <c r="H30" s="107"/>
      <c r="I30" s="96"/>
      <c r="J30" s="109"/>
    </row>
    <row r="31" spans="1:10" ht="27" customHeight="1">
      <c r="A31" s="23"/>
      <c r="B31" s="229" t="s">
        <v>158</v>
      </c>
      <c r="C31" s="230"/>
      <c r="D31" s="231"/>
      <c r="E31" s="99" t="s">
        <v>35</v>
      </c>
      <c r="F31" s="46"/>
      <c r="G31" s="78"/>
      <c r="H31" s="107"/>
      <c r="I31" s="96"/>
      <c r="J31" s="109"/>
    </row>
    <row r="32" spans="1:10" ht="15.75">
      <c r="A32" s="23"/>
      <c r="B32" s="232"/>
      <c r="C32" s="233"/>
      <c r="D32" s="234"/>
      <c r="E32" s="103"/>
      <c r="F32" s="46"/>
      <c r="G32" s="78"/>
      <c r="H32" s="107"/>
      <c r="I32" s="96"/>
      <c r="J32" s="109"/>
    </row>
    <row r="33" spans="1:10" ht="15.75">
      <c r="A33" s="23"/>
      <c r="B33" s="232"/>
      <c r="C33" s="233"/>
      <c r="D33" s="234"/>
      <c r="E33" s="103"/>
      <c r="F33" s="46"/>
      <c r="G33" s="78"/>
      <c r="H33" s="107"/>
      <c r="I33" s="96"/>
      <c r="J33" s="109"/>
    </row>
    <row r="34" spans="1:10" ht="15.75">
      <c r="A34" s="23"/>
      <c r="B34" s="195" t="s">
        <v>30</v>
      </c>
      <c r="C34" s="195"/>
      <c r="D34" s="195"/>
      <c r="E34" s="14"/>
      <c r="F34" s="46"/>
      <c r="G34" s="21">
        <f>SUM(G17:G29)</f>
        <v>11.34</v>
      </c>
      <c r="H34" s="40">
        <f>SUM(H17:H33)</f>
        <v>1027949.1860000001</v>
      </c>
      <c r="I34" s="110">
        <f>SUM(I17:I33)</f>
        <v>0</v>
      </c>
      <c r="J34" s="40">
        <f>SUM(J17:J33)</f>
        <v>1027949.1860000001</v>
      </c>
    </row>
    <row r="35" spans="1:10" ht="15" customHeight="1">
      <c r="A35" s="23" t="s">
        <v>159</v>
      </c>
      <c r="B35" s="165" t="s">
        <v>160</v>
      </c>
      <c r="C35" s="166"/>
      <c r="D35" s="166"/>
      <c r="E35" s="167"/>
      <c r="F35" s="46" t="s">
        <v>82</v>
      </c>
      <c r="G35" s="24">
        <f>H35/E3/12</f>
        <v>0.11189251228601942</v>
      </c>
      <c r="H35" s="28">
        <v>10100</v>
      </c>
      <c r="I35" s="111">
        <v>0</v>
      </c>
      <c r="J35" s="97">
        <f>SUM(H35:I35)</f>
        <v>10100</v>
      </c>
    </row>
    <row r="36" spans="1:10" ht="14.25" customHeight="1">
      <c r="A36" s="25"/>
      <c r="B36" s="169" t="s">
        <v>69</v>
      </c>
      <c r="C36" s="169"/>
      <c r="D36" s="169"/>
      <c r="E36" s="169"/>
      <c r="F36" s="169"/>
      <c r="G36" s="5">
        <f>SUM(G34:G35)</f>
        <v>11.451892512286019</v>
      </c>
      <c r="H36" s="41">
        <f>SUM(H34:H35)</f>
        <v>1038049.1860000001</v>
      </c>
      <c r="I36" s="112">
        <f>SUM(I34:I35)</f>
        <v>0</v>
      </c>
      <c r="J36" s="41">
        <f>SUM(J34:J35)</f>
        <v>1038049.1860000001</v>
      </c>
    </row>
    <row r="37" spans="1:10" ht="15.75">
      <c r="A37" s="23" t="s">
        <v>161</v>
      </c>
      <c r="B37" s="178" t="s">
        <v>162</v>
      </c>
      <c r="C37" s="178"/>
      <c r="D37" s="178"/>
      <c r="E37" s="178"/>
      <c r="F37" s="178"/>
      <c r="G37" s="113"/>
      <c r="H37" s="114">
        <v>0</v>
      </c>
      <c r="I37" s="114">
        <v>0</v>
      </c>
      <c r="J37" s="115">
        <f>SUM(H37:I37)</f>
        <v>0</v>
      </c>
    </row>
    <row r="38" spans="1:10" ht="15" customHeight="1">
      <c r="A38" s="25"/>
      <c r="B38" s="169" t="s">
        <v>163</v>
      </c>
      <c r="C38" s="169"/>
      <c r="D38" s="169"/>
      <c r="E38" s="169"/>
      <c r="F38" s="169"/>
      <c r="G38" s="5">
        <f>SUM(G36:G37)</f>
        <v>11.451892512286019</v>
      </c>
      <c r="H38" s="41">
        <f>SUM(H36:H37)</f>
        <v>1038049.1860000001</v>
      </c>
      <c r="I38" s="112">
        <f>SUM(I36:I37)</f>
        <v>0</v>
      </c>
      <c r="J38" s="41">
        <f>SUM(J36:J37)</f>
        <v>1038049.1860000001</v>
      </c>
    </row>
    <row r="39" spans="1:10" ht="15.75" customHeight="1">
      <c r="A39" s="23">
        <v>3</v>
      </c>
      <c r="B39" s="170" t="s">
        <v>164</v>
      </c>
      <c r="C39" s="171"/>
      <c r="D39" s="171"/>
      <c r="E39" s="171"/>
      <c r="F39" s="171"/>
      <c r="G39" s="172"/>
      <c r="H39" s="116">
        <f>H14-H38</f>
        <v>77890.41399999976</v>
      </c>
      <c r="I39" s="100">
        <f>I14-I38</f>
        <v>0</v>
      </c>
      <c r="J39" s="117">
        <f>J14-J38</f>
        <v>77890.41399999976</v>
      </c>
    </row>
    <row r="40" spans="2:6" ht="15.75">
      <c r="B40" s="34"/>
      <c r="F40" s="34"/>
    </row>
    <row r="41" spans="2:6" ht="15.75">
      <c r="B41" s="34" t="s">
        <v>78</v>
      </c>
      <c r="C41" s="34"/>
      <c r="D41" s="34"/>
      <c r="E41" s="34"/>
      <c r="F41" s="34"/>
    </row>
    <row r="42" spans="2:4" ht="15.75">
      <c r="B42" s="34"/>
      <c r="C42" s="34"/>
      <c r="D42" s="34"/>
    </row>
    <row r="43" spans="2:4" ht="15.75">
      <c r="B43" s="118" t="s">
        <v>79</v>
      </c>
      <c r="C43" s="118"/>
      <c r="D43" s="118" t="s">
        <v>80</v>
      </c>
    </row>
    <row r="44" spans="2:5" ht="15.75" customHeight="1">
      <c r="B44" s="34" t="s">
        <v>86</v>
      </c>
      <c r="C44" s="34"/>
      <c r="D44" s="34"/>
      <c r="E44" s="34"/>
    </row>
    <row r="45" spans="2:4" ht="15.75" customHeight="1">
      <c r="B45" s="212" t="s">
        <v>87</v>
      </c>
      <c r="C45" s="212"/>
      <c r="D45" s="212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5:E35"/>
    <mergeCell ref="B36:F36"/>
    <mergeCell ref="B29:D29"/>
    <mergeCell ref="B30:D30"/>
    <mergeCell ref="B31:D31"/>
    <mergeCell ref="B32:D32"/>
    <mergeCell ref="B33:D33"/>
    <mergeCell ref="B34:D34"/>
    <mergeCell ref="B37:F37"/>
    <mergeCell ref="B38:F38"/>
    <mergeCell ref="B39:G39"/>
    <mergeCell ref="B45:D45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375" style="0" customWidth="1"/>
    <col min="6" max="6" width="7.87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207" t="s">
        <v>197</v>
      </c>
      <c r="B1" s="207"/>
      <c r="C1" s="207"/>
      <c r="D1" s="207"/>
      <c r="E1" s="207"/>
      <c r="F1" s="207"/>
      <c r="G1" s="207"/>
      <c r="H1" s="207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7522.1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9" t="s">
        <v>60</v>
      </c>
      <c r="B6" s="251" t="s">
        <v>141</v>
      </c>
      <c r="C6" s="252"/>
      <c r="D6" s="253"/>
      <c r="E6" s="74" t="s">
        <v>6</v>
      </c>
      <c r="F6" s="74" t="s">
        <v>7</v>
      </c>
      <c r="G6" s="120" t="s">
        <v>189</v>
      </c>
      <c r="H6" s="121" t="s">
        <v>133</v>
      </c>
    </row>
    <row r="7" spans="1:8" ht="15.75" customHeight="1">
      <c r="A7" s="75">
        <v>1</v>
      </c>
      <c r="B7" s="254" t="s">
        <v>134</v>
      </c>
      <c r="C7" s="254"/>
      <c r="D7" s="254"/>
      <c r="E7" s="254"/>
      <c r="F7" s="254"/>
      <c r="G7" s="76"/>
      <c r="H7" s="77"/>
    </row>
    <row r="8" spans="1:8" ht="15.75" customHeight="1">
      <c r="A8" s="75"/>
      <c r="B8" s="222" t="s">
        <v>190</v>
      </c>
      <c r="C8" s="222"/>
      <c r="D8" s="222"/>
      <c r="E8" s="222"/>
      <c r="F8" s="222"/>
      <c r="G8" s="24">
        <f>G31</f>
        <v>14.489999999999997</v>
      </c>
      <c r="H8" s="77">
        <f>ROUND($E$2*G8*12,0)</f>
        <v>1307943</v>
      </c>
    </row>
    <row r="9" spans="1:8" ht="15.75" customHeight="1">
      <c r="A9" s="75"/>
      <c r="B9" s="256" t="s">
        <v>135</v>
      </c>
      <c r="C9" s="256"/>
      <c r="D9" s="256"/>
      <c r="E9" s="256"/>
      <c r="F9" s="256"/>
      <c r="G9" s="23">
        <v>0.76</v>
      </c>
      <c r="H9" s="77">
        <f>ROUND($E$2*G9*12,0)</f>
        <v>68602</v>
      </c>
    </row>
    <row r="10" spans="1:8" ht="15.75" customHeight="1">
      <c r="A10" s="75">
        <v>2</v>
      </c>
      <c r="B10" s="223" t="s">
        <v>65</v>
      </c>
      <c r="C10" s="223"/>
      <c r="D10" s="223"/>
      <c r="E10" s="223"/>
      <c r="F10" s="223"/>
      <c r="G10" s="78"/>
      <c r="H10" s="77"/>
    </row>
    <row r="11" spans="1:8" ht="18.75" customHeight="1">
      <c r="A11" s="75" t="s">
        <v>152</v>
      </c>
      <c r="B11" s="19" t="s">
        <v>66</v>
      </c>
      <c r="C11" s="19"/>
      <c r="D11" s="19"/>
      <c r="E11" s="19"/>
      <c r="F11" s="5"/>
      <c r="G11" s="79"/>
      <c r="H11" s="77"/>
    </row>
    <row r="12" spans="1:8" ht="30.75" customHeight="1">
      <c r="A12" s="80"/>
      <c r="B12" s="255" t="s">
        <v>200</v>
      </c>
      <c r="C12" s="255"/>
      <c r="D12" s="255"/>
      <c r="E12" s="99" t="s">
        <v>32</v>
      </c>
      <c r="F12" s="81" t="s">
        <v>24</v>
      </c>
      <c r="G12" s="82">
        <v>1.22</v>
      </c>
      <c r="H12" s="83">
        <f aca="true" t="shared" si="0" ref="H12:H31">ROUND($E$2*G12*12,0)</f>
        <v>110124</v>
      </c>
    </row>
    <row r="13" spans="1:9" ht="15.75" customHeight="1">
      <c r="A13" s="80"/>
      <c r="B13" s="255" t="s">
        <v>17</v>
      </c>
      <c r="C13" s="255"/>
      <c r="D13" s="255"/>
      <c r="E13" s="99" t="s">
        <v>32</v>
      </c>
      <c r="F13" s="81" t="s">
        <v>19</v>
      </c>
      <c r="G13" s="82">
        <v>0.28</v>
      </c>
      <c r="H13" s="83">
        <f t="shared" si="0"/>
        <v>25274</v>
      </c>
      <c r="I13" s="31"/>
    </row>
    <row r="14" spans="1:8" ht="18.75" customHeight="1">
      <c r="A14" s="80"/>
      <c r="B14" s="257" t="s">
        <v>23</v>
      </c>
      <c r="C14" s="257"/>
      <c r="D14" s="257"/>
      <c r="E14" s="103" t="s">
        <v>153</v>
      </c>
      <c r="F14" s="84" t="s">
        <v>20</v>
      </c>
      <c r="G14" s="82">
        <v>0.99</v>
      </c>
      <c r="H14" s="83">
        <f t="shared" si="0"/>
        <v>89363</v>
      </c>
    </row>
    <row r="15" spans="1:8" ht="15.75" customHeight="1">
      <c r="A15" s="80"/>
      <c r="B15" s="259" t="s">
        <v>31</v>
      </c>
      <c r="C15" s="259"/>
      <c r="D15" s="259"/>
      <c r="E15" s="105" t="s">
        <v>9</v>
      </c>
      <c r="F15" s="85" t="s">
        <v>10</v>
      </c>
      <c r="G15" s="82">
        <v>0.51</v>
      </c>
      <c r="H15" s="83">
        <f t="shared" si="0"/>
        <v>46035</v>
      </c>
    </row>
    <row r="16" spans="1:8" ht="31.5" customHeight="1">
      <c r="A16" s="80"/>
      <c r="B16" s="257" t="s">
        <v>27</v>
      </c>
      <c r="C16" s="257"/>
      <c r="D16" s="257"/>
      <c r="E16" s="103" t="s">
        <v>154</v>
      </c>
      <c r="F16" s="84" t="s">
        <v>25</v>
      </c>
      <c r="G16" s="82">
        <v>0.12</v>
      </c>
      <c r="H16" s="83">
        <f t="shared" si="0"/>
        <v>10832</v>
      </c>
    </row>
    <row r="17" spans="1:8" ht="15.75" customHeight="1">
      <c r="A17" s="80"/>
      <c r="B17" s="257" t="s">
        <v>11</v>
      </c>
      <c r="C17" s="257"/>
      <c r="D17" s="257"/>
      <c r="E17" s="103" t="s">
        <v>9</v>
      </c>
      <c r="F17" s="84" t="s">
        <v>12</v>
      </c>
      <c r="G17" s="82">
        <v>2.22</v>
      </c>
      <c r="H17" s="83">
        <f t="shared" si="0"/>
        <v>200389</v>
      </c>
    </row>
    <row r="18" spans="1:8" ht="15.75" customHeight="1">
      <c r="A18" s="80"/>
      <c r="B18" s="257" t="s">
        <v>26</v>
      </c>
      <c r="C18" s="258"/>
      <c r="D18" s="258"/>
      <c r="E18" s="106" t="s">
        <v>13</v>
      </c>
      <c r="F18" s="78" t="s">
        <v>136</v>
      </c>
      <c r="G18" s="82">
        <v>0.05</v>
      </c>
      <c r="H18" s="83">
        <f t="shared" si="0"/>
        <v>4513</v>
      </c>
    </row>
    <row r="19" spans="1:8" ht="33" customHeight="1">
      <c r="A19" s="80"/>
      <c r="B19" s="257" t="s">
        <v>71</v>
      </c>
      <c r="C19" s="257"/>
      <c r="D19" s="257"/>
      <c r="E19" s="99" t="s">
        <v>35</v>
      </c>
      <c r="F19" s="84" t="s">
        <v>82</v>
      </c>
      <c r="G19" s="82">
        <v>2.15</v>
      </c>
      <c r="H19" s="83">
        <f t="shared" si="0"/>
        <v>194070</v>
      </c>
    </row>
    <row r="20" spans="1:8" ht="51">
      <c r="A20" s="80"/>
      <c r="B20" s="255" t="s">
        <v>15</v>
      </c>
      <c r="C20" s="255"/>
      <c r="D20" s="255"/>
      <c r="E20" s="99" t="s">
        <v>137</v>
      </c>
      <c r="F20" s="84" t="s">
        <v>82</v>
      </c>
      <c r="G20" s="82">
        <v>0.53</v>
      </c>
      <c r="H20" s="83">
        <f t="shared" si="0"/>
        <v>47841</v>
      </c>
    </row>
    <row r="21" spans="1:8" ht="34.5" customHeight="1">
      <c r="A21" s="80"/>
      <c r="B21" s="257" t="s">
        <v>36</v>
      </c>
      <c r="C21" s="258"/>
      <c r="D21" s="258"/>
      <c r="E21" s="99" t="s">
        <v>35</v>
      </c>
      <c r="F21" s="84" t="s">
        <v>82</v>
      </c>
      <c r="G21" s="82">
        <f>3.52-G22-G23</f>
        <v>3.23</v>
      </c>
      <c r="H21" s="83">
        <f t="shared" si="0"/>
        <v>291557</v>
      </c>
    </row>
    <row r="22" spans="1:8" ht="24" customHeight="1">
      <c r="A22" s="80"/>
      <c r="B22" s="257" t="s">
        <v>191</v>
      </c>
      <c r="C22" s="257"/>
      <c r="D22" s="257"/>
      <c r="E22" s="103" t="s">
        <v>9</v>
      </c>
      <c r="F22" s="84" t="s">
        <v>82</v>
      </c>
      <c r="G22" s="82">
        <v>0.29</v>
      </c>
      <c r="H22" s="83">
        <f t="shared" si="0"/>
        <v>26177</v>
      </c>
    </row>
    <row r="23" spans="1:8" ht="27.75" customHeight="1">
      <c r="A23" s="80"/>
      <c r="B23" s="257" t="s">
        <v>156</v>
      </c>
      <c r="C23" s="257"/>
      <c r="D23" s="257"/>
      <c r="E23" s="103" t="s">
        <v>9</v>
      </c>
      <c r="F23" s="84" t="s">
        <v>82</v>
      </c>
      <c r="G23" s="82">
        <v>0</v>
      </c>
      <c r="H23" s="83">
        <f t="shared" si="0"/>
        <v>0</v>
      </c>
    </row>
    <row r="24" spans="1:8" ht="33" customHeight="1">
      <c r="A24" s="80"/>
      <c r="B24" s="258" t="s">
        <v>21</v>
      </c>
      <c r="C24" s="258"/>
      <c r="D24" s="258"/>
      <c r="E24" s="99" t="s">
        <v>35</v>
      </c>
      <c r="F24" s="84" t="s">
        <v>82</v>
      </c>
      <c r="G24" s="82">
        <v>1.45</v>
      </c>
      <c r="H24" s="83">
        <f t="shared" si="0"/>
        <v>130885</v>
      </c>
    </row>
    <row r="25" spans="1:8" ht="15.75">
      <c r="A25" s="23"/>
      <c r="B25" s="229" t="s">
        <v>157</v>
      </c>
      <c r="C25" s="230"/>
      <c r="D25" s="231"/>
      <c r="E25" s="103" t="s">
        <v>9</v>
      </c>
      <c r="F25" s="84"/>
      <c r="G25" s="82"/>
      <c r="H25" s="83"/>
    </row>
    <row r="26" spans="1:8" ht="31.5" customHeight="1">
      <c r="A26" s="23"/>
      <c r="B26" s="229" t="s">
        <v>158</v>
      </c>
      <c r="C26" s="230"/>
      <c r="D26" s="231"/>
      <c r="E26" s="99" t="s">
        <v>35</v>
      </c>
      <c r="F26" s="84"/>
      <c r="G26" s="82"/>
      <c r="H26" s="83"/>
    </row>
    <row r="27" spans="1:8" ht="15.75" customHeight="1">
      <c r="A27" s="80"/>
      <c r="B27" s="232"/>
      <c r="C27" s="233"/>
      <c r="D27" s="234"/>
      <c r="E27" s="99"/>
      <c r="F27" s="84"/>
      <c r="G27" s="82"/>
      <c r="H27" s="83"/>
    </row>
    <row r="28" spans="1:8" ht="15.75">
      <c r="A28" s="80"/>
      <c r="B28" s="232"/>
      <c r="C28" s="233"/>
      <c r="D28" s="234"/>
      <c r="E28" s="99"/>
      <c r="F28" s="84"/>
      <c r="G28" s="82"/>
      <c r="H28" s="83"/>
    </row>
    <row r="29" spans="1:8" ht="15.75">
      <c r="A29" s="80"/>
      <c r="B29" s="260" t="s">
        <v>30</v>
      </c>
      <c r="C29" s="261"/>
      <c r="D29" s="262"/>
      <c r="E29" s="14"/>
      <c r="F29" s="84"/>
      <c r="G29" s="21">
        <f>SUM(G12:G28)</f>
        <v>13.039999999999997</v>
      </c>
      <c r="H29" s="83">
        <f t="shared" si="0"/>
        <v>1177058</v>
      </c>
    </row>
    <row r="30" spans="1:8" ht="21" customHeight="1">
      <c r="A30" s="75" t="s">
        <v>159</v>
      </c>
      <c r="B30" s="165" t="s">
        <v>192</v>
      </c>
      <c r="C30" s="166"/>
      <c r="D30" s="166"/>
      <c r="E30" s="167"/>
      <c r="F30" s="51" t="s">
        <v>138</v>
      </c>
      <c r="G30" s="24">
        <v>1.45</v>
      </c>
      <c r="H30" s="83">
        <f t="shared" si="0"/>
        <v>130885</v>
      </c>
    </row>
    <row r="31" spans="1:8" ht="15.75" customHeight="1">
      <c r="A31" s="75"/>
      <c r="B31" s="247" t="s">
        <v>193</v>
      </c>
      <c r="C31" s="247"/>
      <c r="D31" s="247"/>
      <c r="E31" s="247"/>
      <c r="F31" s="247"/>
      <c r="G31" s="21">
        <f>SUM(G29:G30)</f>
        <v>14.489999999999997</v>
      </c>
      <c r="H31" s="122">
        <f t="shared" si="0"/>
        <v>1307943</v>
      </c>
    </row>
    <row r="32" spans="1:8" ht="19.5" customHeight="1" thickBot="1">
      <c r="A32" s="123">
        <v>3</v>
      </c>
      <c r="B32" s="248" t="s">
        <v>194</v>
      </c>
      <c r="C32" s="249"/>
      <c r="D32" s="250"/>
      <c r="E32" s="124"/>
      <c r="F32" s="125" t="s">
        <v>138</v>
      </c>
      <c r="G32" s="126">
        <v>0.76</v>
      </c>
      <c r="H32" s="127">
        <f>ROUND($E$2*G32*12,0)</f>
        <v>68602</v>
      </c>
    </row>
    <row r="33" spans="7:8" ht="15.75">
      <c r="G33" s="86"/>
      <c r="H33" s="87"/>
    </row>
    <row r="34" spans="1:8" ht="15.75" customHeight="1">
      <c r="A34" s="43" t="s">
        <v>78</v>
      </c>
      <c r="B34" s="43"/>
      <c r="C34" s="43"/>
      <c r="D34" s="34"/>
      <c r="G34" s="86"/>
      <c r="H34" s="87"/>
    </row>
  </sheetData>
  <sheetProtection/>
  <mergeCells count="27">
    <mergeCell ref="B30:E30"/>
    <mergeCell ref="B13:D13"/>
    <mergeCell ref="B14:D14"/>
    <mergeCell ref="B15:D15"/>
    <mergeCell ref="B16:D16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31:F31"/>
    <mergeCell ref="B32:D32"/>
    <mergeCell ref="A1:H1"/>
    <mergeCell ref="B6:D6"/>
    <mergeCell ref="B7:F7"/>
    <mergeCell ref="B12:D12"/>
    <mergeCell ref="B8:F8"/>
    <mergeCell ref="B9:F9"/>
    <mergeCell ref="B10:F10"/>
    <mergeCell ref="B17:D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12.3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7" t="s">
        <v>201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54" customHeight="1">
      <c r="A2" s="240" t="s">
        <v>202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  <c r="I3" s="88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41" t="s">
        <v>141</v>
      </c>
      <c r="C7" s="242"/>
      <c r="D7" s="243"/>
      <c r="E7" s="11" t="s">
        <v>6</v>
      </c>
      <c r="F7" s="11" t="s">
        <v>7</v>
      </c>
      <c r="G7" s="33" t="s">
        <v>22</v>
      </c>
      <c r="H7" s="244" t="s">
        <v>142</v>
      </c>
      <c r="I7" s="245"/>
      <c r="J7" s="246"/>
    </row>
    <row r="8" spans="1:10" ht="15.75">
      <c r="A8" s="23">
        <v>1</v>
      </c>
      <c r="B8" s="216"/>
      <c r="C8" s="217"/>
      <c r="D8" s="217"/>
      <c r="E8" s="217"/>
      <c r="F8" s="218"/>
      <c r="G8" s="90"/>
      <c r="H8" s="91" t="s">
        <v>143</v>
      </c>
      <c r="I8" s="92" t="s">
        <v>144</v>
      </c>
      <c r="J8" s="92" t="s">
        <v>145</v>
      </c>
    </row>
    <row r="9" spans="1:10" ht="15.75">
      <c r="A9" s="23"/>
      <c r="B9" s="216" t="s">
        <v>146</v>
      </c>
      <c r="C9" s="217"/>
      <c r="D9" s="217"/>
      <c r="E9" s="217"/>
      <c r="F9" s="218"/>
      <c r="G9" s="79"/>
      <c r="H9" s="79"/>
      <c r="I9" s="58"/>
      <c r="J9" s="92"/>
    </row>
    <row r="10" spans="1:10" ht="15.75" customHeight="1">
      <c r="A10" s="93"/>
      <c r="B10" s="238" t="s">
        <v>147</v>
      </c>
      <c r="C10" s="238"/>
      <c r="D10" s="238"/>
      <c r="E10" s="238"/>
      <c r="F10" s="238"/>
      <c r="G10" s="15"/>
      <c r="H10" s="94">
        <v>1261081.02</v>
      </c>
      <c r="I10" s="76"/>
      <c r="J10" s="95">
        <f>H10+I10</f>
        <v>1261081.02</v>
      </c>
    </row>
    <row r="11" spans="1:10" ht="15.75" customHeight="1">
      <c r="A11" s="93"/>
      <c r="B11" s="238" t="s">
        <v>148</v>
      </c>
      <c r="C11" s="238"/>
      <c r="D11" s="238"/>
      <c r="E11" s="238"/>
      <c r="F11" s="238"/>
      <c r="G11" s="15"/>
      <c r="H11" s="16">
        <v>52886.21</v>
      </c>
      <c r="I11" s="76"/>
      <c r="J11" s="95">
        <f>H11+I11</f>
        <v>52886.21</v>
      </c>
    </row>
    <row r="12" spans="1:10" ht="15.75" customHeight="1">
      <c r="A12" s="23"/>
      <c r="B12" s="238" t="s">
        <v>149</v>
      </c>
      <c r="C12" s="238"/>
      <c r="D12" s="238"/>
      <c r="E12" s="238"/>
      <c r="F12" s="238"/>
      <c r="G12" s="15"/>
      <c r="H12" s="94"/>
      <c r="I12" s="76">
        <v>0</v>
      </c>
      <c r="J12" s="95">
        <f>H12+I12</f>
        <v>0</v>
      </c>
    </row>
    <row r="13" spans="1:10" ht="15.75" customHeight="1">
      <c r="A13" s="23"/>
      <c r="B13" s="238" t="s">
        <v>150</v>
      </c>
      <c r="C13" s="238"/>
      <c r="D13" s="238"/>
      <c r="E13" s="238"/>
      <c r="F13" s="238"/>
      <c r="G13" s="15"/>
      <c r="H13" s="94">
        <v>0</v>
      </c>
      <c r="I13" s="96">
        <v>0</v>
      </c>
      <c r="J13" s="95">
        <f>H13+I13</f>
        <v>0</v>
      </c>
    </row>
    <row r="14" spans="1:10" ht="15.75" customHeight="1">
      <c r="A14" s="23"/>
      <c r="B14" s="222" t="s">
        <v>151</v>
      </c>
      <c r="C14" s="222"/>
      <c r="D14" s="222"/>
      <c r="E14" s="222"/>
      <c r="F14" s="222"/>
      <c r="G14" s="15"/>
      <c r="H14" s="97">
        <f>SUM(H10:H13)</f>
        <v>1313967.23</v>
      </c>
      <c r="I14" s="97">
        <f>SUM(I10:I13)</f>
        <v>0</v>
      </c>
      <c r="J14" s="97">
        <f>SUM(J10:J13)</f>
        <v>1313967.23</v>
      </c>
    </row>
    <row r="15" spans="1:10" ht="18.75" customHeight="1">
      <c r="A15" s="23">
        <v>2</v>
      </c>
      <c r="B15" s="223" t="s">
        <v>65</v>
      </c>
      <c r="C15" s="223"/>
      <c r="D15" s="223"/>
      <c r="E15" s="223"/>
      <c r="F15" s="223"/>
      <c r="G15" s="15"/>
      <c r="H15" s="94"/>
      <c r="I15" s="76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1"/>
      <c r="H16" s="91"/>
      <c r="I16" s="89"/>
      <c r="J16" s="92"/>
    </row>
    <row r="17" spans="1:10" ht="28.5" customHeight="1">
      <c r="A17" s="26"/>
      <c r="B17" s="239" t="s">
        <v>200</v>
      </c>
      <c r="C17" s="239"/>
      <c r="D17" s="239"/>
      <c r="E17" s="99" t="s">
        <v>32</v>
      </c>
      <c r="F17" s="81" t="s">
        <v>24</v>
      </c>
      <c r="G17" s="82">
        <v>1.22</v>
      </c>
      <c r="H17" s="100">
        <f>ROUND(G17*$E$3*12,2)</f>
        <v>110123.54</v>
      </c>
      <c r="I17" s="101">
        <f>$I$12*0.08</f>
        <v>0</v>
      </c>
      <c r="J17" s="102">
        <f>SUM(H17:I17)</f>
        <v>110123.54</v>
      </c>
    </row>
    <row r="18" spans="1:10" ht="36" customHeight="1">
      <c r="A18" s="23"/>
      <c r="B18" s="236" t="s">
        <v>17</v>
      </c>
      <c r="C18" s="236"/>
      <c r="D18" s="236"/>
      <c r="E18" s="99" t="s">
        <v>32</v>
      </c>
      <c r="F18" s="81" t="s">
        <v>19</v>
      </c>
      <c r="G18" s="82">
        <v>0.28</v>
      </c>
      <c r="H18" s="100">
        <f>ROUND(G18*$E$3*12,2)</f>
        <v>25274.26</v>
      </c>
      <c r="I18" s="101">
        <f>$I$12*0.02</f>
        <v>0</v>
      </c>
      <c r="J18" s="102">
        <f>SUM(H18:I18)</f>
        <v>25274.26</v>
      </c>
    </row>
    <row r="19" spans="1:10" ht="20.25" customHeight="1">
      <c r="A19" s="23"/>
      <c r="B19" s="235" t="s">
        <v>23</v>
      </c>
      <c r="C19" s="235"/>
      <c r="D19" s="235"/>
      <c r="E19" s="103" t="s">
        <v>153</v>
      </c>
      <c r="F19" s="84" t="s">
        <v>20</v>
      </c>
      <c r="G19" s="82">
        <v>0.99</v>
      </c>
      <c r="H19" s="100">
        <f>J19-I19</f>
        <v>128115.3</v>
      </c>
      <c r="I19" s="101">
        <f>$I$12*0.07</f>
        <v>0</v>
      </c>
      <c r="J19" s="104">
        <v>128115.3</v>
      </c>
    </row>
    <row r="20" spans="1:10" ht="20.25" customHeight="1">
      <c r="A20" s="26"/>
      <c r="B20" s="239" t="s">
        <v>31</v>
      </c>
      <c r="C20" s="239"/>
      <c r="D20" s="239"/>
      <c r="E20" s="105" t="s">
        <v>9</v>
      </c>
      <c r="F20" s="85" t="s">
        <v>10</v>
      </c>
      <c r="G20" s="82">
        <v>0.51</v>
      </c>
      <c r="H20" s="100">
        <f>ROUND(G20*$E$3*12,2)</f>
        <v>46035.25</v>
      </c>
      <c r="I20" s="101">
        <f>$I$12*0.04</f>
        <v>0</v>
      </c>
      <c r="J20" s="102">
        <f>SUM(H20:I20)</f>
        <v>46035.25</v>
      </c>
    </row>
    <row r="21" spans="1:10" ht="37.5" customHeight="1">
      <c r="A21" s="23"/>
      <c r="B21" s="235" t="s">
        <v>27</v>
      </c>
      <c r="C21" s="235"/>
      <c r="D21" s="235"/>
      <c r="E21" s="103" t="s">
        <v>154</v>
      </c>
      <c r="F21" s="84" t="s">
        <v>25</v>
      </c>
      <c r="G21" s="82">
        <v>0.12</v>
      </c>
      <c r="H21" s="100">
        <f>J21-I21</f>
        <v>7255.26</v>
      </c>
      <c r="I21" s="101">
        <f>$I$12*0.01</f>
        <v>0</v>
      </c>
      <c r="J21" s="104">
        <v>7255.26</v>
      </c>
    </row>
    <row r="22" spans="1:10" ht="20.25" customHeight="1">
      <c r="A22" s="26"/>
      <c r="B22" s="235" t="s">
        <v>11</v>
      </c>
      <c r="C22" s="235"/>
      <c r="D22" s="235"/>
      <c r="E22" s="103" t="s">
        <v>9</v>
      </c>
      <c r="F22" s="84" t="s">
        <v>12</v>
      </c>
      <c r="G22" s="82">
        <v>2.22</v>
      </c>
      <c r="H22" s="100">
        <f>J22-I22</f>
        <v>200388.744</v>
      </c>
      <c r="I22" s="101">
        <f>$I$12*0.15</f>
        <v>0</v>
      </c>
      <c r="J22" s="104">
        <f>G22*E3*12</f>
        <v>200388.744</v>
      </c>
    </row>
    <row r="23" spans="1:10" ht="31.5" customHeight="1">
      <c r="A23" s="26"/>
      <c r="B23" s="235" t="s">
        <v>26</v>
      </c>
      <c r="C23" s="168"/>
      <c r="D23" s="168"/>
      <c r="E23" s="106" t="s">
        <v>13</v>
      </c>
      <c r="F23" s="78" t="s">
        <v>14</v>
      </c>
      <c r="G23" s="82">
        <v>0.05</v>
      </c>
      <c r="H23" s="100">
        <f>J23-I23</f>
        <v>5594.4</v>
      </c>
      <c r="I23" s="101">
        <f>$I$12*0.003</f>
        <v>0</v>
      </c>
      <c r="J23" s="104">
        <v>5594.4</v>
      </c>
    </row>
    <row r="24" spans="1:10" ht="28.5" customHeight="1">
      <c r="A24" s="23"/>
      <c r="B24" s="235" t="s">
        <v>71</v>
      </c>
      <c r="C24" s="235"/>
      <c r="D24" s="235"/>
      <c r="E24" s="99" t="s">
        <v>35</v>
      </c>
      <c r="F24" s="46" t="s">
        <v>82</v>
      </c>
      <c r="G24" s="82">
        <v>2.15</v>
      </c>
      <c r="H24" s="100">
        <f aca="true" t="shared" si="0" ref="H24:H29">ROUND(G24*$E$3*12,2)</f>
        <v>194070.18</v>
      </c>
      <c r="I24" s="101">
        <f>$I$12*0.19</f>
        <v>0</v>
      </c>
      <c r="J24" s="102">
        <f aca="true" t="shared" si="1" ref="J24:J29">SUM(H24:I24)</f>
        <v>194070.18</v>
      </c>
    </row>
    <row r="25" spans="1:10" ht="26.25" customHeight="1">
      <c r="A25" s="23"/>
      <c r="B25" s="236" t="s">
        <v>15</v>
      </c>
      <c r="C25" s="236"/>
      <c r="D25" s="236"/>
      <c r="E25" s="99" t="s">
        <v>35</v>
      </c>
      <c r="F25" s="46" t="s">
        <v>82</v>
      </c>
      <c r="G25" s="82">
        <v>0.53</v>
      </c>
      <c r="H25" s="107">
        <f t="shared" si="0"/>
        <v>47840.56</v>
      </c>
      <c r="I25" s="101">
        <v>0</v>
      </c>
      <c r="J25" s="102">
        <f t="shared" si="1"/>
        <v>47840.56</v>
      </c>
    </row>
    <row r="26" spans="1:10" ht="30" customHeight="1">
      <c r="A26" s="23"/>
      <c r="B26" s="237" t="s">
        <v>36</v>
      </c>
      <c r="C26" s="233"/>
      <c r="D26" s="234"/>
      <c r="E26" s="99" t="s">
        <v>35</v>
      </c>
      <c r="F26" s="46" t="s">
        <v>82</v>
      </c>
      <c r="G26" s="48">
        <f>3.52-G27-G28</f>
        <v>3.23</v>
      </c>
      <c r="H26" s="107">
        <f t="shared" si="0"/>
        <v>291556.6</v>
      </c>
      <c r="I26" s="108">
        <f>$I$12*(0.18+0.02)</f>
        <v>0</v>
      </c>
      <c r="J26" s="102">
        <f t="shared" si="1"/>
        <v>291556.6</v>
      </c>
    </row>
    <row r="27" spans="1:10" ht="26.25" customHeight="1">
      <c r="A27" s="26"/>
      <c r="B27" s="235" t="s">
        <v>155</v>
      </c>
      <c r="C27" s="235"/>
      <c r="D27" s="235"/>
      <c r="E27" s="99" t="s">
        <v>35</v>
      </c>
      <c r="F27" s="46" t="s">
        <v>82</v>
      </c>
      <c r="G27" s="48">
        <v>0.29</v>
      </c>
      <c r="H27" s="107">
        <f t="shared" si="0"/>
        <v>26176.91</v>
      </c>
      <c r="I27" s="108">
        <f>$I$12*0.02</f>
        <v>0</v>
      </c>
      <c r="J27" s="102">
        <f t="shared" si="1"/>
        <v>26176.91</v>
      </c>
    </row>
    <row r="28" spans="1:10" ht="28.5" customHeight="1">
      <c r="A28" s="23"/>
      <c r="B28" s="235" t="s">
        <v>156</v>
      </c>
      <c r="C28" s="235"/>
      <c r="D28" s="235"/>
      <c r="E28" s="103" t="s">
        <v>9</v>
      </c>
      <c r="F28" s="46" t="s">
        <v>82</v>
      </c>
      <c r="G28" s="48">
        <v>0</v>
      </c>
      <c r="H28" s="107">
        <f t="shared" si="0"/>
        <v>0</v>
      </c>
      <c r="I28" s="108">
        <v>0</v>
      </c>
      <c r="J28" s="102">
        <f t="shared" si="1"/>
        <v>0</v>
      </c>
    </row>
    <row r="29" spans="1:10" ht="27" customHeight="1">
      <c r="A29" s="23"/>
      <c r="B29" s="168" t="s">
        <v>21</v>
      </c>
      <c r="C29" s="168"/>
      <c r="D29" s="168"/>
      <c r="E29" s="103" t="s">
        <v>35</v>
      </c>
      <c r="F29" s="46" t="s">
        <v>82</v>
      </c>
      <c r="G29" s="78">
        <v>1.45</v>
      </c>
      <c r="H29" s="100">
        <f t="shared" si="0"/>
        <v>130884.54</v>
      </c>
      <c r="I29" s="101">
        <f>$I$12*0.1</f>
        <v>0</v>
      </c>
      <c r="J29" s="102">
        <f t="shared" si="1"/>
        <v>130884.54</v>
      </c>
    </row>
    <row r="30" spans="1:10" ht="15.75">
      <c r="A30" s="23"/>
      <c r="B30" s="232"/>
      <c r="C30" s="233"/>
      <c r="D30" s="234"/>
      <c r="E30" s="103"/>
      <c r="F30" s="46"/>
      <c r="G30" s="78"/>
      <c r="H30" s="107"/>
      <c r="I30" s="96"/>
      <c r="J30" s="109"/>
    </row>
    <row r="31" spans="1:10" ht="15.75">
      <c r="A31" s="23"/>
      <c r="B31" s="232"/>
      <c r="C31" s="233"/>
      <c r="D31" s="234"/>
      <c r="E31" s="103"/>
      <c r="F31" s="46"/>
      <c r="G31" s="78"/>
      <c r="H31" s="107"/>
      <c r="I31" s="96"/>
      <c r="J31" s="109"/>
    </row>
    <row r="32" spans="1:10" ht="15.75">
      <c r="A32" s="23"/>
      <c r="B32" s="195" t="s">
        <v>30</v>
      </c>
      <c r="C32" s="195"/>
      <c r="D32" s="195"/>
      <c r="E32" s="14"/>
      <c r="F32" s="46"/>
      <c r="G32" s="21">
        <f>SUM(G17:G29)</f>
        <v>13.039999999999997</v>
      </c>
      <c r="H32" s="40">
        <f>SUM(H17:H31)</f>
        <v>1213315.544</v>
      </c>
      <c r="I32" s="110">
        <f>SUM(I17:I31)</f>
        <v>0</v>
      </c>
      <c r="J32" s="40">
        <f>SUM(J17:J31)</f>
        <v>1213315.544</v>
      </c>
    </row>
    <row r="33" spans="1:10" ht="21.75" customHeight="1">
      <c r="A33" s="23"/>
      <c r="B33" s="229" t="s">
        <v>157</v>
      </c>
      <c r="C33" s="230"/>
      <c r="D33" s="231"/>
      <c r="E33" s="103" t="s">
        <v>9</v>
      </c>
      <c r="F33" s="46"/>
      <c r="G33" s="78"/>
      <c r="H33" s="107"/>
      <c r="I33" s="96"/>
      <c r="J33" s="109"/>
    </row>
    <row r="34" spans="1:10" ht="27" customHeight="1">
      <c r="A34" s="23"/>
      <c r="B34" s="229" t="s">
        <v>158</v>
      </c>
      <c r="C34" s="230"/>
      <c r="D34" s="231"/>
      <c r="E34" s="99" t="s">
        <v>35</v>
      </c>
      <c r="F34" s="46"/>
      <c r="G34" s="78"/>
      <c r="H34" s="107"/>
      <c r="I34" s="96"/>
      <c r="J34" s="109"/>
    </row>
    <row r="35" spans="1:10" ht="15.75">
      <c r="A35" s="23"/>
      <c r="B35" s="232"/>
      <c r="C35" s="233"/>
      <c r="D35" s="234"/>
      <c r="E35" s="103"/>
      <c r="F35" s="46"/>
      <c r="G35" s="78"/>
      <c r="H35" s="107"/>
      <c r="I35" s="96"/>
      <c r="J35" s="109"/>
    </row>
    <row r="36" spans="1:10" ht="15" customHeight="1">
      <c r="A36" s="23" t="s">
        <v>159</v>
      </c>
      <c r="B36" s="165" t="s">
        <v>160</v>
      </c>
      <c r="C36" s="166"/>
      <c r="D36" s="166"/>
      <c r="E36" s="167"/>
      <c r="F36" s="46" t="s">
        <v>82</v>
      </c>
      <c r="G36" s="24">
        <f>H36/E3/12</f>
        <v>1.411241541590779</v>
      </c>
      <c r="H36" s="28">
        <v>127386</v>
      </c>
      <c r="I36" s="111">
        <v>0</v>
      </c>
      <c r="J36" s="97">
        <f>SUM(H36:I36)</f>
        <v>127386</v>
      </c>
    </row>
    <row r="37" spans="1:10" ht="14.25" customHeight="1">
      <c r="A37" s="25"/>
      <c r="B37" s="169" t="s">
        <v>69</v>
      </c>
      <c r="C37" s="169"/>
      <c r="D37" s="169"/>
      <c r="E37" s="169"/>
      <c r="F37" s="169"/>
      <c r="G37" s="5">
        <f>SUM(G32:G36)</f>
        <v>14.451241541590777</v>
      </c>
      <c r="H37" s="41">
        <f>SUM(H32:H36)</f>
        <v>1340701.544</v>
      </c>
      <c r="I37" s="112">
        <f>SUM(I32:I36)</f>
        <v>0</v>
      </c>
      <c r="J37" s="41">
        <f>SUM(J32:J36)</f>
        <v>1340701.544</v>
      </c>
    </row>
    <row r="38" spans="1:10" ht="15.75">
      <c r="A38" s="23" t="s">
        <v>161</v>
      </c>
      <c r="B38" s="178" t="s">
        <v>162</v>
      </c>
      <c r="C38" s="178"/>
      <c r="D38" s="178"/>
      <c r="E38" s="178"/>
      <c r="F38" s="178"/>
      <c r="G38" s="113"/>
      <c r="H38" s="114">
        <v>422697</v>
      </c>
      <c r="I38" s="114">
        <v>0</v>
      </c>
      <c r="J38" s="115">
        <f>SUM(H38:I38)</f>
        <v>422697</v>
      </c>
    </row>
    <row r="39" spans="1:10" ht="15" customHeight="1">
      <c r="A39" s="25"/>
      <c r="B39" s="169" t="s">
        <v>163</v>
      </c>
      <c r="C39" s="169"/>
      <c r="D39" s="169"/>
      <c r="E39" s="169"/>
      <c r="F39" s="169"/>
      <c r="G39" s="5">
        <f>SUM(G37:G38)</f>
        <v>14.451241541590777</v>
      </c>
      <c r="H39" s="41">
        <f>SUM(H37:H38)</f>
        <v>1763398.544</v>
      </c>
      <c r="I39" s="112">
        <f>SUM(I37:I38)</f>
        <v>0</v>
      </c>
      <c r="J39" s="41">
        <f>SUM(J37:J38)</f>
        <v>1763398.544</v>
      </c>
    </row>
    <row r="40" spans="1:10" ht="15.75" customHeight="1">
      <c r="A40" s="23">
        <v>3</v>
      </c>
      <c r="B40" s="170" t="s">
        <v>203</v>
      </c>
      <c r="C40" s="171"/>
      <c r="D40" s="171"/>
      <c r="E40" s="171"/>
      <c r="F40" s="171"/>
      <c r="G40" s="172"/>
      <c r="H40" s="116">
        <f>H14-H39</f>
        <v>-449431.314</v>
      </c>
      <c r="I40" s="100">
        <f>I14-I39</f>
        <v>0</v>
      </c>
      <c r="J40" s="117">
        <f>J14-J39</f>
        <v>-449431.314</v>
      </c>
    </row>
    <row r="41" spans="2:6" ht="15.75">
      <c r="B41" s="34"/>
      <c r="F41" s="34"/>
    </row>
    <row r="42" spans="2:6" ht="15.75">
      <c r="B42" s="34" t="s">
        <v>78</v>
      </c>
      <c r="C42" s="34"/>
      <c r="D42" s="34"/>
      <c r="E42" s="34"/>
      <c r="F42" s="34"/>
    </row>
    <row r="43" spans="2:4" ht="15.75">
      <c r="B43" s="34"/>
      <c r="C43" s="34"/>
      <c r="D43" s="34"/>
    </row>
    <row r="44" spans="2:5" ht="15.75" customHeight="1">
      <c r="B44" s="34" t="s">
        <v>204</v>
      </c>
      <c r="C44" s="34"/>
      <c r="D44" s="34"/>
      <c r="E44" s="34"/>
    </row>
    <row r="45" spans="2:4" ht="15.75" customHeight="1">
      <c r="B45" s="212" t="s">
        <v>87</v>
      </c>
      <c r="C45" s="212"/>
      <c r="D45" s="212"/>
    </row>
  </sheetData>
  <sheetProtection/>
  <mergeCells count="37">
    <mergeCell ref="B38:F38"/>
    <mergeCell ref="B36:E36"/>
    <mergeCell ref="B37:F37"/>
    <mergeCell ref="B33:D33"/>
    <mergeCell ref="B34:D34"/>
    <mergeCell ref="B35:D35"/>
    <mergeCell ref="B39:F39"/>
    <mergeCell ref="B40:G40"/>
    <mergeCell ref="B45:D45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15748031496062992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31" sqref="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125" style="0" customWidth="1"/>
    <col min="6" max="6" width="7.875" style="0" hidden="1" customWidth="1"/>
    <col min="7" max="7" width="7.375" style="0" hidden="1" customWidth="1"/>
    <col min="8" max="8" width="12.375" style="0" customWidth="1"/>
    <col min="9" max="9" width="9.875" style="0" bestFit="1" customWidth="1"/>
  </cols>
  <sheetData>
    <row r="1" spans="1:8" ht="121.5" customHeight="1">
      <c r="A1" s="207" t="s">
        <v>207</v>
      </c>
      <c r="B1" s="207"/>
      <c r="C1" s="207"/>
      <c r="D1" s="207"/>
      <c r="E1" s="207"/>
      <c r="F1" s="207"/>
      <c r="G1" s="207"/>
      <c r="H1" s="207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7522.1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9" t="s">
        <v>60</v>
      </c>
      <c r="B6" s="251" t="s">
        <v>141</v>
      </c>
      <c r="C6" s="252"/>
      <c r="D6" s="253"/>
      <c r="E6" s="74" t="s">
        <v>6</v>
      </c>
      <c r="F6" s="74" t="s">
        <v>7</v>
      </c>
      <c r="G6" s="120" t="s">
        <v>189</v>
      </c>
      <c r="H6" s="121" t="s">
        <v>133</v>
      </c>
    </row>
    <row r="7" spans="1:8" ht="15.75" customHeight="1">
      <c r="A7" s="75">
        <v>1</v>
      </c>
      <c r="B7" s="254" t="s">
        <v>134</v>
      </c>
      <c r="C7" s="254"/>
      <c r="D7" s="254"/>
      <c r="E7" s="254"/>
      <c r="F7" s="254"/>
      <c r="G7" s="76"/>
      <c r="H7" s="77"/>
    </row>
    <row r="8" spans="1:8" ht="15.75" customHeight="1">
      <c r="A8" s="75"/>
      <c r="B8" s="222" t="s">
        <v>190</v>
      </c>
      <c r="C8" s="222"/>
      <c r="D8" s="222"/>
      <c r="E8" s="222"/>
      <c r="F8" s="222"/>
      <c r="G8" s="24">
        <f>G31</f>
        <v>14.920000000000002</v>
      </c>
      <c r="H8" s="77">
        <f>ROUND($E$2*G8*12,0)</f>
        <v>1346757</v>
      </c>
    </row>
    <row r="9" spans="1:8" ht="15.75" customHeight="1">
      <c r="A9" s="75"/>
      <c r="B9" s="256" t="s">
        <v>135</v>
      </c>
      <c r="C9" s="256"/>
      <c r="D9" s="256"/>
      <c r="E9" s="256"/>
      <c r="F9" s="256"/>
      <c r="G9" s="23">
        <v>0.78</v>
      </c>
      <c r="H9" s="77">
        <f>ROUND($E$2*G9*12,0)</f>
        <v>70407</v>
      </c>
    </row>
    <row r="10" spans="1:8" ht="15.75" customHeight="1">
      <c r="A10" s="75">
        <v>2</v>
      </c>
      <c r="B10" s="223" t="s">
        <v>65</v>
      </c>
      <c r="C10" s="223"/>
      <c r="D10" s="223"/>
      <c r="E10" s="223"/>
      <c r="F10" s="223"/>
      <c r="G10" s="78"/>
      <c r="H10" s="77"/>
    </row>
    <row r="11" spans="1:8" ht="18.75" customHeight="1">
      <c r="A11" s="75" t="s">
        <v>152</v>
      </c>
      <c r="B11" s="19" t="s">
        <v>66</v>
      </c>
      <c r="C11" s="19"/>
      <c r="D11" s="19"/>
      <c r="E11" s="19"/>
      <c r="F11" s="5"/>
      <c r="G11" s="79"/>
      <c r="H11" s="77"/>
    </row>
    <row r="12" spans="1:8" ht="30.75" customHeight="1">
      <c r="A12" s="80"/>
      <c r="B12" s="255" t="s">
        <v>200</v>
      </c>
      <c r="C12" s="255"/>
      <c r="D12" s="255"/>
      <c r="E12" s="99" t="s">
        <v>32</v>
      </c>
      <c r="F12" s="81" t="s">
        <v>24</v>
      </c>
      <c r="G12" s="82">
        <v>1.26</v>
      </c>
      <c r="H12" s="83">
        <f aca="true" t="shared" si="0" ref="H12:H31">ROUND($E$2*G12*12,0)</f>
        <v>113734</v>
      </c>
    </row>
    <row r="13" spans="1:9" ht="15.75" customHeight="1">
      <c r="A13" s="80"/>
      <c r="B13" s="255" t="s">
        <v>17</v>
      </c>
      <c r="C13" s="255"/>
      <c r="D13" s="255"/>
      <c r="E13" s="99" t="s">
        <v>32</v>
      </c>
      <c r="F13" s="81" t="s">
        <v>19</v>
      </c>
      <c r="G13" s="82">
        <v>0.29</v>
      </c>
      <c r="H13" s="83">
        <f t="shared" si="0"/>
        <v>26177</v>
      </c>
      <c r="I13" s="31"/>
    </row>
    <row r="14" spans="1:8" ht="18.75" customHeight="1">
      <c r="A14" s="80"/>
      <c r="B14" s="257" t="s">
        <v>23</v>
      </c>
      <c r="C14" s="257"/>
      <c r="D14" s="257"/>
      <c r="E14" s="103" t="s">
        <v>153</v>
      </c>
      <c r="F14" s="84" t="s">
        <v>20</v>
      </c>
      <c r="G14" s="82">
        <v>1.02</v>
      </c>
      <c r="H14" s="83">
        <f t="shared" si="0"/>
        <v>92071</v>
      </c>
    </row>
    <row r="15" spans="1:8" ht="15.75" customHeight="1">
      <c r="A15" s="80"/>
      <c r="B15" s="259" t="s">
        <v>31</v>
      </c>
      <c r="C15" s="259"/>
      <c r="D15" s="259"/>
      <c r="E15" s="105" t="s">
        <v>9</v>
      </c>
      <c r="F15" s="85" t="s">
        <v>10</v>
      </c>
      <c r="G15" s="82">
        <v>0.53</v>
      </c>
      <c r="H15" s="83">
        <f t="shared" si="0"/>
        <v>47841</v>
      </c>
    </row>
    <row r="16" spans="1:8" ht="31.5" customHeight="1">
      <c r="A16" s="80"/>
      <c r="B16" s="257" t="s">
        <v>27</v>
      </c>
      <c r="C16" s="257"/>
      <c r="D16" s="257"/>
      <c r="E16" s="103" t="s">
        <v>154</v>
      </c>
      <c r="F16" s="84" t="s">
        <v>25</v>
      </c>
      <c r="G16" s="82">
        <v>0.12</v>
      </c>
      <c r="H16" s="83">
        <f t="shared" si="0"/>
        <v>10832</v>
      </c>
    </row>
    <row r="17" spans="1:8" ht="15.75" customHeight="1">
      <c r="A17" s="80"/>
      <c r="B17" s="257" t="s">
        <v>11</v>
      </c>
      <c r="C17" s="257"/>
      <c r="D17" s="257"/>
      <c r="E17" s="103" t="s">
        <v>9</v>
      </c>
      <c r="F17" s="84" t="s">
        <v>12</v>
      </c>
      <c r="G17" s="82">
        <v>2.29</v>
      </c>
      <c r="H17" s="83">
        <f t="shared" si="0"/>
        <v>206707</v>
      </c>
    </row>
    <row r="18" spans="1:8" ht="15.75" customHeight="1">
      <c r="A18" s="80"/>
      <c r="B18" s="257" t="s">
        <v>26</v>
      </c>
      <c r="C18" s="258"/>
      <c r="D18" s="258"/>
      <c r="E18" s="106" t="s">
        <v>13</v>
      </c>
      <c r="F18" s="78" t="s">
        <v>136</v>
      </c>
      <c r="G18" s="82">
        <v>0.05</v>
      </c>
      <c r="H18" s="83">
        <f t="shared" si="0"/>
        <v>4513</v>
      </c>
    </row>
    <row r="19" spans="1:8" ht="33" customHeight="1">
      <c r="A19" s="80"/>
      <c r="B19" s="257" t="s">
        <v>71</v>
      </c>
      <c r="C19" s="257"/>
      <c r="D19" s="257"/>
      <c r="E19" s="99" t="s">
        <v>35</v>
      </c>
      <c r="F19" s="84" t="s">
        <v>82</v>
      </c>
      <c r="G19" s="82">
        <v>2.21</v>
      </c>
      <c r="H19" s="83">
        <f t="shared" si="0"/>
        <v>199486</v>
      </c>
    </row>
    <row r="20" spans="1:8" ht="51">
      <c r="A20" s="80"/>
      <c r="B20" s="255" t="s">
        <v>15</v>
      </c>
      <c r="C20" s="255"/>
      <c r="D20" s="255"/>
      <c r="E20" s="99" t="s">
        <v>137</v>
      </c>
      <c r="F20" s="84" t="s">
        <v>82</v>
      </c>
      <c r="G20" s="82">
        <v>0.55</v>
      </c>
      <c r="H20" s="83">
        <f t="shared" si="0"/>
        <v>49646</v>
      </c>
    </row>
    <row r="21" spans="1:8" ht="34.5" customHeight="1">
      <c r="A21" s="80"/>
      <c r="B21" s="257" t="s">
        <v>36</v>
      </c>
      <c r="C21" s="258"/>
      <c r="D21" s="258"/>
      <c r="E21" s="99" t="s">
        <v>35</v>
      </c>
      <c r="F21" s="84" t="s">
        <v>82</v>
      </c>
      <c r="G21" s="82">
        <f>3.62-G22-G23</f>
        <v>3.3200000000000003</v>
      </c>
      <c r="H21" s="83">
        <f t="shared" si="0"/>
        <v>299680</v>
      </c>
    </row>
    <row r="22" spans="1:8" ht="24" customHeight="1">
      <c r="A22" s="80"/>
      <c r="B22" s="257" t="s">
        <v>191</v>
      </c>
      <c r="C22" s="257"/>
      <c r="D22" s="257"/>
      <c r="E22" s="103" t="s">
        <v>9</v>
      </c>
      <c r="F22" s="84" t="s">
        <v>82</v>
      </c>
      <c r="G22" s="82">
        <v>0.3</v>
      </c>
      <c r="H22" s="83">
        <f t="shared" si="0"/>
        <v>27080</v>
      </c>
    </row>
    <row r="23" spans="1:8" ht="27.75" customHeight="1">
      <c r="A23" s="80"/>
      <c r="B23" s="257" t="s">
        <v>156</v>
      </c>
      <c r="C23" s="257"/>
      <c r="D23" s="257"/>
      <c r="E23" s="103" t="s">
        <v>9</v>
      </c>
      <c r="F23" s="84" t="s">
        <v>82</v>
      </c>
      <c r="G23" s="82">
        <v>0</v>
      </c>
      <c r="H23" s="83">
        <f t="shared" si="0"/>
        <v>0</v>
      </c>
    </row>
    <row r="24" spans="1:8" ht="33" customHeight="1">
      <c r="A24" s="80"/>
      <c r="B24" s="258" t="s">
        <v>21</v>
      </c>
      <c r="C24" s="258"/>
      <c r="D24" s="258"/>
      <c r="E24" s="99" t="s">
        <v>35</v>
      </c>
      <c r="F24" s="84" t="s">
        <v>82</v>
      </c>
      <c r="G24" s="82">
        <v>1.49</v>
      </c>
      <c r="H24" s="83">
        <f t="shared" si="0"/>
        <v>134495</v>
      </c>
    </row>
    <row r="25" spans="1:8" ht="15.75">
      <c r="A25" s="23"/>
      <c r="B25" s="229" t="s">
        <v>157</v>
      </c>
      <c r="C25" s="230"/>
      <c r="D25" s="231"/>
      <c r="E25" s="103" t="s">
        <v>9</v>
      </c>
      <c r="F25" s="84"/>
      <c r="G25" s="82"/>
      <c r="H25" s="83"/>
    </row>
    <row r="26" spans="1:8" ht="31.5" customHeight="1">
      <c r="A26" s="23"/>
      <c r="B26" s="229" t="s">
        <v>158</v>
      </c>
      <c r="C26" s="230"/>
      <c r="D26" s="231"/>
      <c r="E26" s="99" t="s">
        <v>35</v>
      </c>
      <c r="F26" s="84"/>
      <c r="G26" s="82"/>
      <c r="H26" s="83"/>
    </row>
    <row r="27" spans="1:8" ht="15.75" customHeight="1">
      <c r="A27" s="80"/>
      <c r="B27" s="232"/>
      <c r="C27" s="233"/>
      <c r="D27" s="234"/>
      <c r="E27" s="99"/>
      <c r="F27" s="84"/>
      <c r="G27" s="82"/>
      <c r="H27" s="83"/>
    </row>
    <row r="28" spans="1:8" ht="15.75">
      <c r="A28" s="80"/>
      <c r="B28" s="232"/>
      <c r="C28" s="233"/>
      <c r="D28" s="234"/>
      <c r="E28" s="99"/>
      <c r="F28" s="84"/>
      <c r="G28" s="82"/>
      <c r="H28" s="83"/>
    </row>
    <row r="29" spans="1:8" ht="15.75">
      <c r="A29" s="80"/>
      <c r="B29" s="260" t="s">
        <v>30</v>
      </c>
      <c r="C29" s="261"/>
      <c r="D29" s="262"/>
      <c r="E29" s="14"/>
      <c r="F29" s="84"/>
      <c r="G29" s="21">
        <f>SUM(G12:G28)</f>
        <v>13.430000000000001</v>
      </c>
      <c r="H29" s="83">
        <f t="shared" si="0"/>
        <v>1212262</v>
      </c>
    </row>
    <row r="30" spans="1:8" ht="21" customHeight="1">
      <c r="A30" s="75" t="s">
        <v>159</v>
      </c>
      <c r="B30" s="165" t="s">
        <v>192</v>
      </c>
      <c r="C30" s="166"/>
      <c r="D30" s="166"/>
      <c r="E30" s="167"/>
      <c r="F30" s="51" t="s">
        <v>138</v>
      </c>
      <c r="G30" s="24">
        <v>1.49</v>
      </c>
      <c r="H30" s="83">
        <v>834000</v>
      </c>
    </row>
    <row r="31" spans="1:8" ht="15.75" customHeight="1">
      <c r="A31" s="75"/>
      <c r="B31" s="247" t="s">
        <v>193</v>
      </c>
      <c r="C31" s="247"/>
      <c r="D31" s="247"/>
      <c r="E31" s="247"/>
      <c r="F31" s="247"/>
      <c r="G31" s="21">
        <f>SUM(G29:G30)</f>
        <v>14.920000000000002</v>
      </c>
      <c r="H31" s="122">
        <f t="shared" si="0"/>
        <v>1346757</v>
      </c>
    </row>
    <row r="32" spans="1:8" ht="19.5" customHeight="1" thickBot="1">
      <c r="A32" s="123">
        <v>3</v>
      </c>
      <c r="B32" s="248" t="s">
        <v>205</v>
      </c>
      <c r="C32" s="249"/>
      <c r="D32" s="250"/>
      <c r="E32" s="124"/>
      <c r="F32" s="125" t="s">
        <v>138</v>
      </c>
      <c r="G32" s="126">
        <v>0.78</v>
      </c>
      <c r="H32" s="127">
        <f>ROUND($E$2*G32*12,0)</f>
        <v>70407</v>
      </c>
    </row>
    <row r="33" spans="2:7" ht="53.25" customHeight="1">
      <c r="B33" s="263" t="s">
        <v>206</v>
      </c>
      <c r="C33" s="263"/>
      <c r="D33" s="263"/>
      <c r="E33" s="263"/>
      <c r="F33" s="86"/>
      <c r="G33" s="87"/>
    </row>
    <row r="34" spans="2:7" ht="15.75" customHeight="1">
      <c r="B34" s="128"/>
      <c r="C34" s="128"/>
      <c r="D34" s="128"/>
      <c r="E34" s="128"/>
      <c r="F34" s="86"/>
      <c r="G34" s="87"/>
    </row>
    <row r="35" spans="1:8" ht="15.75">
      <c r="A35" s="34" t="s">
        <v>78</v>
      </c>
      <c r="B35" s="34"/>
      <c r="C35" s="34"/>
      <c r="D35" s="34"/>
      <c r="E35" s="34"/>
      <c r="F35" s="34"/>
      <c r="G35" s="34"/>
      <c r="H35" s="87"/>
    </row>
  </sheetData>
  <sheetProtection/>
  <mergeCells count="28">
    <mergeCell ref="B31:F31"/>
    <mergeCell ref="B32:D32"/>
    <mergeCell ref="B26:D26"/>
    <mergeCell ref="B27:D27"/>
    <mergeCell ref="B28:D28"/>
    <mergeCell ref="B29:D29"/>
    <mergeCell ref="B19:D19"/>
    <mergeCell ref="B20:D20"/>
    <mergeCell ref="B21:D21"/>
    <mergeCell ref="B22:D22"/>
    <mergeCell ref="B33:E33"/>
    <mergeCell ref="A1:H1"/>
    <mergeCell ref="B6:D6"/>
    <mergeCell ref="B7:F7"/>
    <mergeCell ref="B8:F8"/>
    <mergeCell ref="B9:F9"/>
    <mergeCell ref="B23:D23"/>
    <mergeCell ref="B24:D24"/>
    <mergeCell ref="B25:D25"/>
    <mergeCell ref="B30:E30"/>
    <mergeCell ref="B15:D15"/>
    <mergeCell ref="B16:D16"/>
    <mergeCell ref="B17:D17"/>
    <mergeCell ref="B18:D18"/>
    <mergeCell ref="B10:F10"/>
    <mergeCell ref="B12:D12"/>
    <mergeCell ref="B13:D13"/>
    <mergeCell ref="B14:D14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G16" sqref="G16:G2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20.375" style="0" hidden="1" customWidth="1"/>
    <col min="7" max="7" width="11.25390625" style="0" customWidth="1"/>
    <col min="8" max="8" width="12.75390625" style="0" customWidth="1"/>
  </cols>
  <sheetData>
    <row r="1" spans="4:8" ht="75.75" customHeight="1">
      <c r="D1" s="264" t="s">
        <v>208</v>
      </c>
      <c r="E1" s="264"/>
      <c r="F1" s="264"/>
      <c r="G1" s="264"/>
      <c r="H1" s="264"/>
    </row>
    <row r="2" spans="4:8" ht="15.75">
      <c r="D2" s="129"/>
      <c r="E2" s="129"/>
      <c r="F2" s="129"/>
      <c r="G2" s="129"/>
      <c r="H2" s="129"/>
    </row>
    <row r="3" spans="4:8" ht="16.5" customHeight="1">
      <c r="D3" s="129"/>
      <c r="E3" s="129"/>
      <c r="F3" s="129"/>
      <c r="G3" s="129"/>
      <c r="H3" s="129"/>
    </row>
    <row r="4" spans="1:8" ht="16.5" customHeight="1">
      <c r="A4" s="265" t="s">
        <v>209</v>
      </c>
      <c r="B4" s="265"/>
      <c r="C4" s="265"/>
      <c r="D4" s="265"/>
      <c r="E4" s="265"/>
      <c r="F4" s="265"/>
      <c r="G4" s="265"/>
      <c r="H4" s="265"/>
    </row>
    <row r="5" spans="1:7" ht="16.5" customHeight="1">
      <c r="A5" s="130"/>
      <c r="B5" s="130"/>
      <c r="C5" s="130"/>
      <c r="D5" s="130"/>
      <c r="E5" s="130"/>
      <c r="F5" s="130"/>
      <c r="G5" s="130"/>
    </row>
    <row r="6" spans="1:7" ht="21" customHeight="1">
      <c r="A6" s="130"/>
      <c r="B6" s="266" t="s">
        <v>228</v>
      </c>
      <c r="C6" s="266"/>
      <c r="D6" s="266"/>
      <c r="E6" s="266"/>
      <c r="F6" s="130"/>
      <c r="G6" s="130"/>
    </row>
    <row r="7" spans="1:7" ht="21" customHeight="1">
      <c r="A7" s="130"/>
      <c r="B7" s="131"/>
      <c r="C7" s="131"/>
      <c r="D7" s="131"/>
      <c r="E7" s="131"/>
      <c r="F7" s="130"/>
      <c r="G7" s="130"/>
    </row>
    <row r="8" spans="2:6" ht="18.75">
      <c r="B8" s="1" t="s">
        <v>225</v>
      </c>
      <c r="C8" s="2"/>
      <c r="D8" s="2" t="s">
        <v>0</v>
      </c>
      <c r="E8" s="132">
        <v>7491.9</v>
      </c>
      <c r="F8" s="2"/>
    </row>
    <row r="9" spans="2:6" ht="15.75">
      <c r="B9" s="3" t="s">
        <v>1</v>
      </c>
      <c r="C9" s="133">
        <v>9</v>
      </c>
      <c r="D9" s="2" t="s">
        <v>2</v>
      </c>
      <c r="E9" s="134">
        <v>144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83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19" t="s">
        <v>60</v>
      </c>
      <c r="B12" s="267" t="s">
        <v>141</v>
      </c>
      <c r="C12" s="267"/>
      <c r="D12" s="267"/>
      <c r="E12" s="74" t="s">
        <v>6</v>
      </c>
      <c r="F12" s="74" t="s">
        <v>7</v>
      </c>
      <c r="G12" s="135" t="s">
        <v>229</v>
      </c>
      <c r="H12" s="136" t="s">
        <v>230</v>
      </c>
    </row>
    <row r="13" spans="1:8" ht="25.5">
      <c r="A13" s="137">
        <v>1</v>
      </c>
      <c r="B13" s="241">
        <v>2</v>
      </c>
      <c r="C13" s="242"/>
      <c r="D13" s="268"/>
      <c r="E13" s="138">
        <v>3</v>
      </c>
      <c r="F13" s="139"/>
      <c r="G13" s="140">
        <v>4</v>
      </c>
      <c r="H13" s="141" t="s">
        <v>231</v>
      </c>
    </row>
    <row r="14" spans="1:8" ht="18.75">
      <c r="A14" s="75" t="s">
        <v>96</v>
      </c>
      <c r="B14" s="223" t="s">
        <v>65</v>
      </c>
      <c r="C14" s="223"/>
      <c r="D14" s="223"/>
      <c r="E14" s="223"/>
      <c r="F14" s="223"/>
      <c r="G14" s="78"/>
      <c r="H14" s="83"/>
    </row>
    <row r="15" spans="1:8" ht="15.75">
      <c r="A15" s="75" t="s">
        <v>210</v>
      </c>
      <c r="B15" s="19" t="s">
        <v>66</v>
      </c>
      <c r="C15" s="19"/>
      <c r="D15" s="19"/>
      <c r="E15" s="19"/>
      <c r="F15" s="5"/>
      <c r="G15" s="14"/>
      <c r="H15" s="83"/>
    </row>
    <row r="16" spans="1:8" ht="32.25" customHeight="1">
      <c r="A16" s="142"/>
      <c r="B16" s="255" t="s">
        <v>211</v>
      </c>
      <c r="C16" s="255"/>
      <c r="D16" s="255"/>
      <c r="E16" s="143" t="s">
        <v>32</v>
      </c>
      <c r="F16" s="81" t="s">
        <v>24</v>
      </c>
      <c r="G16" s="82">
        <v>1.29</v>
      </c>
      <c r="H16" s="83">
        <f aca="true" t="shared" si="0" ref="H16:H28">ROUND(G16*$E$8*4,0)</f>
        <v>38658</v>
      </c>
    </row>
    <row r="17" spans="1:8" ht="15.75" customHeight="1">
      <c r="A17" s="142"/>
      <c r="B17" s="255" t="s">
        <v>17</v>
      </c>
      <c r="C17" s="255"/>
      <c r="D17" s="255"/>
      <c r="E17" s="143" t="s">
        <v>32</v>
      </c>
      <c r="F17" s="81" t="s">
        <v>19</v>
      </c>
      <c r="G17" s="82">
        <v>0.3</v>
      </c>
      <c r="H17" s="83">
        <f t="shared" si="0"/>
        <v>8990</v>
      </c>
    </row>
    <row r="18" spans="1:8" ht="16.5" customHeight="1">
      <c r="A18" s="142"/>
      <c r="B18" s="257" t="s">
        <v>23</v>
      </c>
      <c r="C18" s="257"/>
      <c r="D18" s="257"/>
      <c r="E18" s="103" t="s">
        <v>153</v>
      </c>
      <c r="F18" s="84" t="s">
        <v>20</v>
      </c>
      <c r="G18" s="82">
        <v>1.05</v>
      </c>
      <c r="H18" s="83">
        <f t="shared" si="0"/>
        <v>31466</v>
      </c>
    </row>
    <row r="19" spans="1:8" ht="15.75">
      <c r="A19" s="142"/>
      <c r="B19" s="259" t="s">
        <v>31</v>
      </c>
      <c r="C19" s="259"/>
      <c r="D19" s="259"/>
      <c r="E19" s="144" t="s">
        <v>9</v>
      </c>
      <c r="F19" s="85" t="s">
        <v>10</v>
      </c>
      <c r="G19" s="82">
        <v>0.54</v>
      </c>
      <c r="H19" s="83">
        <f t="shared" si="0"/>
        <v>16183</v>
      </c>
    </row>
    <row r="20" spans="1:8" ht="51">
      <c r="A20" s="142"/>
      <c r="B20" s="257" t="s">
        <v>27</v>
      </c>
      <c r="C20" s="257"/>
      <c r="D20" s="257"/>
      <c r="E20" s="145" t="s">
        <v>34</v>
      </c>
      <c r="F20" s="84" t="s">
        <v>25</v>
      </c>
      <c r="G20" s="82">
        <v>0.13</v>
      </c>
      <c r="H20" s="83">
        <f t="shared" si="0"/>
        <v>3896</v>
      </c>
    </row>
    <row r="21" spans="1:8" ht="30.75" customHeight="1">
      <c r="A21" s="142"/>
      <c r="B21" s="257" t="s">
        <v>11</v>
      </c>
      <c r="C21" s="257"/>
      <c r="D21" s="257"/>
      <c r="E21" s="145" t="s">
        <v>9</v>
      </c>
      <c r="F21" s="84" t="s">
        <v>12</v>
      </c>
      <c r="G21" s="82">
        <v>2.35</v>
      </c>
      <c r="H21" s="83">
        <f t="shared" si="0"/>
        <v>70424</v>
      </c>
    </row>
    <row r="22" spans="1:8" ht="15.75" customHeight="1">
      <c r="A22" s="142"/>
      <c r="B22" s="257" t="s">
        <v>26</v>
      </c>
      <c r="C22" s="258"/>
      <c r="D22" s="258"/>
      <c r="E22" s="146" t="s">
        <v>13</v>
      </c>
      <c r="F22" s="78" t="s">
        <v>14</v>
      </c>
      <c r="G22" s="82">
        <v>0.05</v>
      </c>
      <c r="H22" s="83">
        <f t="shared" si="0"/>
        <v>1498</v>
      </c>
    </row>
    <row r="23" spans="1:8" ht="51">
      <c r="A23" s="142"/>
      <c r="B23" s="257" t="s">
        <v>212</v>
      </c>
      <c r="C23" s="257"/>
      <c r="D23" s="257"/>
      <c r="E23" s="99" t="s">
        <v>213</v>
      </c>
      <c r="F23" s="84" t="s">
        <v>214</v>
      </c>
      <c r="G23" s="82">
        <v>1.63</v>
      </c>
      <c r="H23" s="83">
        <f t="shared" si="0"/>
        <v>48847</v>
      </c>
    </row>
    <row r="24" spans="1:8" ht="51">
      <c r="A24" s="142"/>
      <c r="B24" s="255" t="s">
        <v>15</v>
      </c>
      <c r="C24" s="255"/>
      <c r="D24" s="255"/>
      <c r="E24" s="143" t="s">
        <v>137</v>
      </c>
      <c r="F24" s="84" t="s">
        <v>214</v>
      </c>
      <c r="G24" s="82">
        <v>0.56</v>
      </c>
      <c r="H24" s="83">
        <f t="shared" si="0"/>
        <v>16782</v>
      </c>
    </row>
    <row r="25" spans="1:8" ht="31.5" customHeight="1">
      <c r="A25" s="142"/>
      <c r="B25" s="257" t="s">
        <v>36</v>
      </c>
      <c r="C25" s="258"/>
      <c r="D25" s="258"/>
      <c r="E25" s="143" t="s">
        <v>35</v>
      </c>
      <c r="F25" s="84" t="s">
        <v>214</v>
      </c>
      <c r="G25" s="82">
        <f>4.38-G26-G27</f>
        <v>4.07</v>
      </c>
      <c r="H25" s="83">
        <f t="shared" si="0"/>
        <v>121968</v>
      </c>
    </row>
    <row r="26" spans="1:8" ht="15.75">
      <c r="A26" s="142"/>
      <c r="B26" s="257" t="s">
        <v>28</v>
      </c>
      <c r="C26" s="257"/>
      <c r="D26" s="257"/>
      <c r="E26" s="145" t="s">
        <v>9</v>
      </c>
      <c r="F26" s="84" t="s">
        <v>214</v>
      </c>
      <c r="G26" s="82">
        <v>0.31</v>
      </c>
      <c r="H26" s="83">
        <f t="shared" si="0"/>
        <v>9290</v>
      </c>
    </row>
    <row r="27" spans="1:8" ht="15.75">
      <c r="A27" s="142"/>
      <c r="B27" s="257" t="s">
        <v>29</v>
      </c>
      <c r="C27" s="257"/>
      <c r="D27" s="257"/>
      <c r="E27" s="145" t="s">
        <v>9</v>
      </c>
      <c r="F27" s="84" t="s">
        <v>214</v>
      </c>
      <c r="G27" s="82">
        <v>0</v>
      </c>
      <c r="H27" s="83">
        <f t="shared" si="0"/>
        <v>0</v>
      </c>
    </row>
    <row r="28" spans="1:8" ht="30.75" customHeight="1">
      <c r="A28" s="142"/>
      <c r="B28" s="258" t="s">
        <v>21</v>
      </c>
      <c r="C28" s="258"/>
      <c r="D28" s="258"/>
      <c r="E28" s="143" t="s">
        <v>35</v>
      </c>
      <c r="F28" s="84" t="s">
        <v>214</v>
      </c>
      <c r="G28" s="82">
        <v>1.54</v>
      </c>
      <c r="H28" s="83">
        <f t="shared" si="0"/>
        <v>46150</v>
      </c>
    </row>
    <row r="29" spans="1:9" ht="19.5" customHeight="1">
      <c r="A29" s="75"/>
      <c r="B29" s="195" t="s">
        <v>30</v>
      </c>
      <c r="C29" s="195"/>
      <c r="D29" s="195"/>
      <c r="E29" s="146"/>
      <c r="F29" s="84"/>
      <c r="G29" s="21">
        <f>SUM(G16:G28)</f>
        <v>13.82</v>
      </c>
      <c r="H29" s="147">
        <f>SUM(H16:H28)</f>
        <v>414152</v>
      </c>
      <c r="I29" s="148"/>
    </row>
    <row r="30" spans="1:8" ht="14.25" customHeight="1">
      <c r="A30" s="75" t="s">
        <v>215</v>
      </c>
      <c r="B30" s="256" t="s">
        <v>37</v>
      </c>
      <c r="C30" s="258"/>
      <c r="D30" s="258"/>
      <c r="E30" s="146" t="s">
        <v>216</v>
      </c>
      <c r="F30" s="51" t="s">
        <v>217</v>
      </c>
      <c r="G30" s="24">
        <v>1.54</v>
      </c>
      <c r="H30" s="83">
        <f>ROUND(G30*$E$8*4,0)</f>
        <v>46150</v>
      </c>
    </row>
    <row r="31" spans="1:8" ht="15.75">
      <c r="A31" s="75" t="s">
        <v>218</v>
      </c>
      <c r="B31" s="270" t="s">
        <v>69</v>
      </c>
      <c r="C31" s="270"/>
      <c r="D31" s="270"/>
      <c r="E31" s="270"/>
      <c r="F31" s="270"/>
      <c r="G31" s="24">
        <f>SUM(G29:G30)</f>
        <v>15.36</v>
      </c>
      <c r="H31" s="149">
        <f>SUM(H29:H30)</f>
        <v>460302</v>
      </c>
    </row>
    <row r="32" spans="1:8" ht="16.5" thickBot="1">
      <c r="A32" s="123" t="s">
        <v>99</v>
      </c>
      <c r="B32" s="271" t="s">
        <v>205</v>
      </c>
      <c r="C32" s="271"/>
      <c r="D32" s="271"/>
      <c r="E32" s="150" t="s">
        <v>216</v>
      </c>
      <c r="F32" s="151" t="s">
        <v>217</v>
      </c>
      <c r="G32" s="152">
        <v>0.8</v>
      </c>
      <c r="H32" s="153">
        <f>ROUND(G32*$E$8*4,0)</f>
        <v>23974</v>
      </c>
    </row>
    <row r="33" spans="2:5" ht="15.75" customHeight="1">
      <c r="B33" s="272" t="s">
        <v>219</v>
      </c>
      <c r="C33" s="272"/>
      <c r="D33" s="272"/>
      <c r="E33" s="272"/>
    </row>
    <row r="34" spans="1:4" ht="15.75" hidden="1">
      <c r="A34" s="269" t="s">
        <v>220</v>
      </c>
      <c r="B34" s="269"/>
      <c r="C34" s="269"/>
      <c r="D34" s="269"/>
    </row>
    <row r="35" spans="1:4" ht="15.75" hidden="1">
      <c r="A35" s="266" t="s">
        <v>221</v>
      </c>
      <c r="B35" s="266"/>
      <c r="C35" s="266"/>
      <c r="D35" s="266"/>
    </row>
    <row r="36" spans="1:4" ht="15.75" hidden="1">
      <c r="A36" s="266" t="s">
        <v>222</v>
      </c>
      <c r="B36" s="266"/>
      <c r="C36" s="266"/>
      <c r="D36" s="266"/>
    </row>
    <row r="37" spans="1:4" ht="15.75">
      <c r="A37" s="131"/>
      <c r="B37" s="131"/>
      <c r="C37" s="131"/>
      <c r="D37" s="131"/>
    </row>
    <row r="38" spans="1:4" ht="15.75">
      <c r="A38" s="131"/>
      <c r="B38" s="131"/>
      <c r="C38" s="131"/>
      <c r="D38" s="131"/>
    </row>
    <row r="39" spans="2:5" ht="15.75">
      <c r="B39" s="34" t="s">
        <v>226</v>
      </c>
      <c r="C39" s="34"/>
      <c r="D39" s="34"/>
      <c r="E39" s="34" t="s">
        <v>223</v>
      </c>
    </row>
    <row r="41" spans="2:5" ht="15.75">
      <c r="B41" s="34" t="s">
        <v>227</v>
      </c>
      <c r="C41" s="34"/>
      <c r="D41" s="34"/>
      <c r="E41" t="s">
        <v>224</v>
      </c>
    </row>
    <row r="44" spans="2:8" ht="15.75">
      <c r="B44" s="154"/>
      <c r="C44" s="154"/>
      <c r="D44" s="154"/>
      <c r="E44" s="154"/>
      <c r="F44" s="154"/>
      <c r="G44" s="154"/>
      <c r="H44" s="154"/>
    </row>
  </sheetData>
  <mergeCells count="27">
    <mergeCell ref="A34:D34"/>
    <mergeCell ref="A35:D35"/>
    <mergeCell ref="A36:D36"/>
    <mergeCell ref="B30:D30"/>
    <mergeCell ref="B31:F31"/>
    <mergeCell ref="B32:D32"/>
    <mergeCell ref="B33:E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D13"/>
    <mergeCell ref="B14:F14"/>
    <mergeCell ref="B16:D16"/>
    <mergeCell ref="B17:D17"/>
    <mergeCell ref="D1:H1"/>
    <mergeCell ref="A4:H4"/>
    <mergeCell ref="B6:E6"/>
    <mergeCell ref="B12:D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9">
      <selection activeCell="G31" sqref="G31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07" t="s">
        <v>243</v>
      </c>
      <c r="B1" s="207"/>
      <c r="C1" s="207"/>
      <c r="D1" s="207"/>
      <c r="E1" s="207"/>
      <c r="F1" s="207"/>
      <c r="G1" s="207"/>
      <c r="H1" s="207"/>
      <c r="I1" s="207"/>
    </row>
    <row r="2" spans="1:9" ht="20.2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20.25">
      <c r="A3" s="155"/>
      <c r="B3" s="155"/>
      <c r="C3" s="155"/>
      <c r="D3" s="155"/>
      <c r="E3" s="155"/>
      <c r="F3" s="155"/>
      <c r="G3" s="155"/>
      <c r="H3" s="155"/>
      <c r="I3" s="155"/>
    </row>
    <row r="4" spans="1:6" ht="47.25">
      <c r="A4" s="1" t="s">
        <v>77</v>
      </c>
      <c r="B4" s="1" t="s">
        <v>244</v>
      </c>
      <c r="C4" s="2"/>
      <c r="D4" s="158" t="s">
        <v>232</v>
      </c>
      <c r="E4" s="132">
        <v>7491.9</v>
      </c>
      <c r="F4" s="2"/>
    </row>
    <row r="5" spans="2:6" ht="15.75">
      <c r="B5" s="3" t="s">
        <v>1</v>
      </c>
      <c r="C5" s="133">
        <v>9</v>
      </c>
      <c r="D5" s="2" t="s">
        <v>2</v>
      </c>
      <c r="E5" s="134">
        <v>144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83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9" t="s">
        <v>60</v>
      </c>
      <c r="B8" s="251" t="s">
        <v>141</v>
      </c>
      <c r="C8" s="252"/>
      <c r="D8" s="253"/>
      <c r="E8" s="74" t="s">
        <v>6</v>
      </c>
      <c r="F8" s="74" t="s">
        <v>7</v>
      </c>
      <c r="G8" s="120" t="s">
        <v>233</v>
      </c>
      <c r="H8" s="120" t="s">
        <v>234</v>
      </c>
      <c r="I8" s="121" t="s">
        <v>235</v>
      </c>
    </row>
    <row r="9" spans="1:9" ht="38.25">
      <c r="A9" s="137">
        <v>1</v>
      </c>
      <c r="B9" s="241">
        <v>2</v>
      </c>
      <c r="C9" s="242"/>
      <c r="D9" s="268"/>
      <c r="E9" s="138">
        <v>3</v>
      </c>
      <c r="F9" s="138">
        <v>3</v>
      </c>
      <c r="G9" s="138">
        <v>4</v>
      </c>
      <c r="H9" s="138">
        <v>5</v>
      </c>
      <c r="I9" s="141" t="s">
        <v>236</v>
      </c>
    </row>
    <row r="10" spans="1:9" ht="15.75" customHeight="1">
      <c r="A10" s="75">
        <v>1</v>
      </c>
      <c r="B10" s="254" t="s">
        <v>134</v>
      </c>
      <c r="C10" s="254"/>
      <c r="D10" s="254"/>
      <c r="E10" s="254"/>
      <c r="F10" s="254"/>
      <c r="G10" s="76"/>
      <c r="H10" s="159"/>
      <c r="I10" s="77"/>
    </row>
    <row r="11" spans="1:9" ht="15.75" customHeight="1">
      <c r="A11" s="75"/>
      <c r="B11" s="222" t="s">
        <v>190</v>
      </c>
      <c r="C11" s="222"/>
      <c r="D11" s="222"/>
      <c r="E11" s="222"/>
      <c r="F11" s="222"/>
      <c r="G11" s="24">
        <f>G32</f>
        <v>14.370000000000001</v>
      </c>
      <c r="H11" s="24">
        <f>H32</f>
        <v>15.300000000000002</v>
      </c>
      <c r="I11" s="83">
        <f>ROUND($E$4*G11*6,0)+ROUND($E$4*H11*6,0)</f>
        <v>1333708</v>
      </c>
    </row>
    <row r="12" spans="1:9" ht="15.75" customHeight="1">
      <c r="A12" s="75"/>
      <c r="B12" s="256" t="s">
        <v>135</v>
      </c>
      <c r="C12" s="256"/>
      <c r="D12" s="256"/>
      <c r="E12" s="256"/>
      <c r="F12" s="256"/>
      <c r="G12" s="24">
        <f>G33</f>
        <v>0.8</v>
      </c>
      <c r="H12" s="24">
        <f>H33</f>
        <v>0.85</v>
      </c>
      <c r="I12" s="83">
        <f>ROUND($E$4*G12*6,0)+ROUND($E$4*H12*6,0)</f>
        <v>74170</v>
      </c>
    </row>
    <row r="13" spans="1:9" ht="15.75" customHeight="1">
      <c r="A13" s="75">
        <v>2</v>
      </c>
      <c r="B13" s="273" t="s">
        <v>65</v>
      </c>
      <c r="C13" s="274"/>
      <c r="D13" s="274"/>
      <c r="E13" s="274"/>
      <c r="F13" s="275"/>
      <c r="G13" s="78"/>
      <c r="H13" s="156"/>
      <c r="I13" s="83"/>
    </row>
    <row r="14" spans="1:9" ht="18.75" customHeight="1">
      <c r="A14" s="75" t="s">
        <v>210</v>
      </c>
      <c r="B14" s="19" t="s">
        <v>66</v>
      </c>
      <c r="C14" s="19"/>
      <c r="D14" s="19"/>
      <c r="E14" s="19"/>
      <c r="F14" s="5"/>
      <c r="G14" s="79"/>
      <c r="H14" s="160"/>
      <c r="I14" s="83"/>
    </row>
    <row r="15" spans="1:9" ht="29.25" customHeight="1">
      <c r="A15" s="80"/>
      <c r="B15" s="276" t="s">
        <v>237</v>
      </c>
      <c r="C15" s="255"/>
      <c r="D15" s="255"/>
      <c r="E15" s="99" t="s">
        <v>32</v>
      </c>
      <c r="F15" s="81" t="s">
        <v>24</v>
      </c>
      <c r="G15" s="82">
        <v>1.29</v>
      </c>
      <c r="H15" s="161">
        <v>1.37</v>
      </c>
      <c r="I15" s="83">
        <f>ROUND($E$4*G15*6,0)+ROUND($E$4*H15*6,0)</f>
        <v>119570</v>
      </c>
    </row>
    <row r="16" spans="1:10" ht="15.75" customHeight="1">
      <c r="A16" s="80"/>
      <c r="B16" s="255" t="s">
        <v>17</v>
      </c>
      <c r="C16" s="255"/>
      <c r="D16" s="255"/>
      <c r="E16" s="99" t="s">
        <v>32</v>
      </c>
      <c r="F16" s="81" t="s">
        <v>19</v>
      </c>
      <c r="G16" s="82">
        <v>0.3</v>
      </c>
      <c r="H16" s="161">
        <v>0.32</v>
      </c>
      <c r="I16" s="83">
        <f aca="true" t="shared" si="0" ref="I16:I33">ROUND($E$4*G16*6,0)+ROUND($E$4*H16*6,0)</f>
        <v>27869</v>
      </c>
      <c r="J16" s="31"/>
    </row>
    <row r="17" spans="1:9" ht="18.75" customHeight="1">
      <c r="A17" s="80"/>
      <c r="B17" s="257" t="s">
        <v>238</v>
      </c>
      <c r="C17" s="257"/>
      <c r="D17" s="257"/>
      <c r="E17" s="103" t="s">
        <v>153</v>
      </c>
      <c r="F17" s="84" t="s">
        <v>20</v>
      </c>
      <c r="G17" s="82">
        <v>0.06</v>
      </c>
      <c r="H17" s="161">
        <v>0.06</v>
      </c>
      <c r="I17" s="83">
        <f t="shared" si="0"/>
        <v>5394</v>
      </c>
    </row>
    <row r="18" spans="1:9" ht="15.75" customHeight="1">
      <c r="A18" s="80"/>
      <c r="B18" s="259" t="s">
        <v>31</v>
      </c>
      <c r="C18" s="259"/>
      <c r="D18" s="259"/>
      <c r="E18" s="105" t="s">
        <v>9</v>
      </c>
      <c r="F18" s="85" t="s">
        <v>10</v>
      </c>
      <c r="G18" s="82">
        <v>0.54</v>
      </c>
      <c r="H18" s="161">
        <v>0.58</v>
      </c>
      <c r="I18" s="83">
        <f t="shared" si="0"/>
        <v>50346</v>
      </c>
    </row>
    <row r="19" spans="1:9" ht="51" customHeight="1">
      <c r="A19" s="80"/>
      <c r="B19" s="257" t="s">
        <v>27</v>
      </c>
      <c r="C19" s="257"/>
      <c r="D19" s="257"/>
      <c r="E19" s="103" t="s">
        <v>154</v>
      </c>
      <c r="F19" s="84" t="s">
        <v>25</v>
      </c>
      <c r="G19" s="82">
        <v>0.13</v>
      </c>
      <c r="H19" s="161">
        <v>0.14</v>
      </c>
      <c r="I19" s="83">
        <f t="shared" si="0"/>
        <v>12137</v>
      </c>
    </row>
    <row r="20" spans="1:9" ht="37.5" customHeight="1">
      <c r="A20" s="80"/>
      <c r="B20" s="257" t="s">
        <v>11</v>
      </c>
      <c r="C20" s="257"/>
      <c r="D20" s="257"/>
      <c r="E20" s="103" t="s">
        <v>9</v>
      </c>
      <c r="F20" s="84" t="s">
        <v>12</v>
      </c>
      <c r="G20" s="82">
        <v>2.35</v>
      </c>
      <c r="H20" s="161">
        <v>2.5</v>
      </c>
      <c r="I20" s="83">
        <f t="shared" si="0"/>
        <v>218015</v>
      </c>
    </row>
    <row r="21" spans="1:9" ht="21" customHeight="1">
      <c r="A21" s="80"/>
      <c r="B21" s="257" t="s">
        <v>26</v>
      </c>
      <c r="C21" s="258"/>
      <c r="D21" s="258"/>
      <c r="E21" s="106" t="s">
        <v>13</v>
      </c>
      <c r="F21" s="78" t="s">
        <v>136</v>
      </c>
      <c r="G21" s="82">
        <v>0.05</v>
      </c>
      <c r="H21" s="161">
        <v>0.05</v>
      </c>
      <c r="I21" s="83">
        <f t="shared" si="0"/>
        <v>4496</v>
      </c>
    </row>
    <row r="22" spans="1:9" ht="51">
      <c r="A22" s="80"/>
      <c r="B22" s="257" t="s">
        <v>71</v>
      </c>
      <c r="C22" s="257"/>
      <c r="D22" s="257"/>
      <c r="E22" s="99" t="s">
        <v>213</v>
      </c>
      <c r="F22" s="84" t="s">
        <v>82</v>
      </c>
      <c r="G22" s="82">
        <v>1.63</v>
      </c>
      <c r="H22" s="161">
        <v>1.74</v>
      </c>
      <c r="I22" s="83">
        <f t="shared" si="0"/>
        <v>151486</v>
      </c>
    </row>
    <row r="23" spans="1:9" ht="55.5" customHeight="1">
      <c r="A23" s="80"/>
      <c r="B23" s="255" t="s">
        <v>15</v>
      </c>
      <c r="C23" s="255"/>
      <c r="D23" s="255"/>
      <c r="E23" s="99" t="s">
        <v>137</v>
      </c>
      <c r="F23" s="84" t="s">
        <v>82</v>
      </c>
      <c r="G23" s="82">
        <v>0.56</v>
      </c>
      <c r="H23" s="161">
        <v>0.6</v>
      </c>
      <c r="I23" s="83">
        <f t="shared" si="0"/>
        <v>52144</v>
      </c>
    </row>
    <row r="24" spans="1:9" ht="28.5" customHeight="1">
      <c r="A24" s="80"/>
      <c r="B24" s="257" t="s">
        <v>36</v>
      </c>
      <c r="C24" s="258"/>
      <c r="D24" s="258"/>
      <c r="E24" s="99" t="s">
        <v>35</v>
      </c>
      <c r="F24" s="84" t="s">
        <v>82</v>
      </c>
      <c r="G24" s="82">
        <f>4.38-G25-G26</f>
        <v>4.07</v>
      </c>
      <c r="H24" s="82">
        <f>4.66-H25-H26</f>
        <v>4.33</v>
      </c>
      <c r="I24" s="83">
        <f t="shared" si="0"/>
        <v>377592</v>
      </c>
    </row>
    <row r="25" spans="1:9" ht="15.75" customHeight="1">
      <c r="A25" s="80"/>
      <c r="B25" s="257" t="s">
        <v>191</v>
      </c>
      <c r="C25" s="257"/>
      <c r="D25" s="257"/>
      <c r="E25" s="103" t="s">
        <v>9</v>
      </c>
      <c r="F25" s="84" t="s">
        <v>82</v>
      </c>
      <c r="G25" s="82">
        <v>0.31</v>
      </c>
      <c r="H25" s="161">
        <v>0.33</v>
      </c>
      <c r="I25" s="83">
        <f t="shared" si="0"/>
        <v>28769</v>
      </c>
    </row>
    <row r="26" spans="1:9" ht="21.75" customHeight="1">
      <c r="A26" s="80"/>
      <c r="B26" s="257" t="s">
        <v>156</v>
      </c>
      <c r="C26" s="257"/>
      <c r="D26" s="257"/>
      <c r="E26" s="103" t="s">
        <v>9</v>
      </c>
      <c r="F26" s="84" t="s">
        <v>82</v>
      </c>
      <c r="G26" s="82">
        <v>0</v>
      </c>
      <c r="H26" s="161">
        <v>0</v>
      </c>
      <c r="I26" s="83">
        <f t="shared" si="0"/>
        <v>0</v>
      </c>
    </row>
    <row r="27" spans="1:9" ht="29.25" customHeight="1">
      <c r="A27" s="80"/>
      <c r="B27" s="258" t="s">
        <v>239</v>
      </c>
      <c r="C27" s="258"/>
      <c r="D27" s="258"/>
      <c r="E27" s="99" t="s">
        <v>35</v>
      </c>
      <c r="F27" s="84" t="s">
        <v>82</v>
      </c>
      <c r="G27" s="82">
        <v>1.54</v>
      </c>
      <c r="H27" s="161">
        <v>1.64</v>
      </c>
      <c r="I27" s="83">
        <f t="shared" si="0"/>
        <v>142945</v>
      </c>
    </row>
    <row r="28" spans="1:9" ht="15.75" customHeight="1" hidden="1">
      <c r="A28" s="23"/>
      <c r="B28" s="229" t="s">
        <v>157</v>
      </c>
      <c r="C28" s="230"/>
      <c r="D28" s="231"/>
      <c r="E28" s="103" t="s">
        <v>9</v>
      </c>
      <c r="F28" s="84"/>
      <c r="G28" s="21"/>
      <c r="H28" s="161"/>
      <c r="I28" s="83">
        <f t="shared" si="0"/>
        <v>0</v>
      </c>
    </row>
    <row r="29" spans="1:9" ht="31.5" customHeight="1" hidden="1">
      <c r="A29" s="23"/>
      <c r="B29" s="229" t="s">
        <v>158</v>
      </c>
      <c r="C29" s="230"/>
      <c r="D29" s="231"/>
      <c r="E29" s="99" t="s">
        <v>35</v>
      </c>
      <c r="F29" s="84"/>
      <c r="G29" s="24"/>
      <c r="H29" s="161"/>
      <c r="I29" s="83">
        <f t="shared" si="0"/>
        <v>0</v>
      </c>
    </row>
    <row r="30" spans="1:9" ht="15.75" customHeight="1">
      <c r="A30" s="80"/>
      <c r="B30" s="260" t="s">
        <v>30</v>
      </c>
      <c r="C30" s="261"/>
      <c r="D30" s="262"/>
      <c r="E30" s="14"/>
      <c r="F30" s="84"/>
      <c r="G30" s="21">
        <f>SUM(G15:G29)</f>
        <v>12.830000000000002</v>
      </c>
      <c r="H30" s="21">
        <f>SUM(H15:H29)</f>
        <v>13.660000000000002</v>
      </c>
      <c r="I30" s="83">
        <f t="shared" si="0"/>
        <v>1190762</v>
      </c>
    </row>
    <row r="31" spans="1:9" ht="21" customHeight="1">
      <c r="A31" s="75" t="s">
        <v>215</v>
      </c>
      <c r="B31" s="165" t="s">
        <v>240</v>
      </c>
      <c r="C31" s="166"/>
      <c r="D31" s="166"/>
      <c r="E31" s="145" t="s">
        <v>216</v>
      </c>
      <c r="F31" s="51" t="s">
        <v>138</v>
      </c>
      <c r="G31" s="24">
        <v>1.54</v>
      </c>
      <c r="H31" s="24">
        <v>1.64</v>
      </c>
      <c r="I31" s="83">
        <f t="shared" si="0"/>
        <v>142945</v>
      </c>
    </row>
    <row r="32" spans="1:9" ht="15.75" customHeight="1">
      <c r="A32" s="75" t="s">
        <v>218</v>
      </c>
      <c r="B32" s="247" t="s">
        <v>193</v>
      </c>
      <c r="C32" s="247"/>
      <c r="D32" s="247"/>
      <c r="E32" s="247"/>
      <c r="F32" s="247"/>
      <c r="G32" s="24">
        <f>SUM(G30:G31)</f>
        <v>14.370000000000001</v>
      </c>
      <c r="H32" s="21">
        <f>SUM(H30:H31)</f>
        <v>15.300000000000002</v>
      </c>
      <c r="I32" s="83">
        <f t="shared" si="0"/>
        <v>1333708</v>
      </c>
    </row>
    <row r="33" spans="1:9" ht="24" customHeight="1" thickBot="1">
      <c r="A33" s="123" t="s">
        <v>99</v>
      </c>
      <c r="B33" s="248" t="s">
        <v>205</v>
      </c>
      <c r="C33" s="249"/>
      <c r="D33" s="250"/>
      <c r="E33" s="162" t="s">
        <v>216</v>
      </c>
      <c r="F33" s="125" t="s">
        <v>138</v>
      </c>
      <c r="G33" s="152">
        <v>0.8</v>
      </c>
      <c r="H33" s="163">
        <v>0.85</v>
      </c>
      <c r="I33" s="153">
        <f t="shared" si="0"/>
        <v>74170</v>
      </c>
    </row>
    <row r="34" spans="2:9" ht="59.25" customHeight="1">
      <c r="B34" s="277" t="s">
        <v>241</v>
      </c>
      <c r="C34" s="277"/>
      <c r="D34" s="277"/>
      <c r="E34" s="277"/>
      <c r="G34" s="86"/>
      <c r="H34" s="86"/>
      <c r="I34" s="87"/>
    </row>
    <row r="35" spans="2:9" ht="24.75" customHeight="1">
      <c r="B35" s="164"/>
      <c r="C35" s="164"/>
      <c r="D35" s="164"/>
      <c r="E35" s="164"/>
      <c r="G35" s="86"/>
      <c r="H35" s="86"/>
      <c r="I35" s="87"/>
    </row>
    <row r="36" spans="1:9" ht="15.75" customHeight="1">
      <c r="A36" s="43" t="s">
        <v>242</v>
      </c>
      <c r="B36" s="43"/>
      <c r="C36" s="43"/>
      <c r="D36" s="34"/>
      <c r="G36" s="86"/>
      <c r="H36" s="86"/>
      <c r="I36" s="87"/>
    </row>
  </sheetData>
  <mergeCells count="27">
    <mergeCell ref="B32:F32"/>
    <mergeCell ref="B33:D33"/>
    <mergeCell ref="B34:E34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A2" sqref="A2:J2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9.375" style="0" hidden="1" customWidth="1"/>
    <col min="8" max="8" width="13.25390625" style="0" hidden="1" customWidth="1"/>
    <col min="9" max="9" width="12.00390625" style="0" hidden="1" customWidth="1"/>
    <col min="10" max="10" width="20.25390625" style="0" customWidth="1"/>
    <col min="11" max="12" width="0" style="0" hidden="1" customWidth="1"/>
  </cols>
  <sheetData>
    <row r="1" spans="1:10" ht="126.75" customHeight="1">
      <c r="A1" s="207" t="s">
        <v>245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76.5" customHeight="1">
      <c r="A2" s="220" t="s">
        <v>246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7491.9</v>
      </c>
      <c r="F3" s="2"/>
      <c r="I3" s="88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2" t="s">
        <v>60</v>
      </c>
      <c r="B7" s="241" t="s">
        <v>141</v>
      </c>
      <c r="C7" s="242"/>
      <c r="D7" s="243"/>
      <c r="E7" s="11" t="s">
        <v>6</v>
      </c>
      <c r="F7" s="11" t="s">
        <v>7</v>
      </c>
      <c r="G7" s="179" t="s">
        <v>247</v>
      </c>
      <c r="H7" s="244" t="s">
        <v>248</v>
      </c>
      <c r="I7" s="245"/>
      <c r="J7" s="246"/>
      <c r="K7" s="57">
        <v>4</v>
      </c>
      <c r="L7" s="180" t="s">
        <v>249</v>
      </c>
    </row>
    <row r="8" spans="1:10" ht="15.75">
      <c r="A8" s="23">
        <v>1</v>
      </c>
      <c r="B8" s="216"/>
      <c r="C8" s="217"/>
      <c r="D8" s="217"/>
      <c r="E8" s="217"/>
      <c r="F8" s="218"/>
      <c r="G8" s="181"/>
      <c r="H8" s="182" t="s">
        <v>143</v>
      </c>
      <c r="I8" s="92" t="s">
        <v>144</v>
      </c>
      <c r="J8" s="92" t="s">
        <v>145</v>
      </c>
    </row>
    <row r="9" spans="1:10" ht="15.75">
      <c r="A9" s="23"/>
      <c r="B9" s="216" t="s">
        <v>146</v>
      </c>
      <c r="C9" s="217"/>
      <c r="D9" s="217"/>
      <c r="E9" s="217"/>
      <c r="F9" s="218"/>
      <c r="G9" s="58"/>
      <c r="H9" s="58"/>
      <c r="I9" s="58"/>
      <c r="J9" s="92"/>
    </row>
    <row r="10" spans="1:10" ht="15.75">
      <c r="A10" s="93"/>
      <c r="B10" s="238" t="s">
        <v>147</v>
      </c>
      <c r="C10" s="238"/>
      <c r="D10" s="238"/>
      <c r="E10" s="238"/>
      <c r="F10" s="238"/>
      <c r="G10" s="15"/>
      <c r="H10" s="94">
        <v>472216.36</v>
      </c>
      <c r="I10" s="76"/>
      <c r="J10" s="95">
        <f>H10+I10</f>
        <v>472216.36</v>
      </c>
    </row>
    <row r="11" spans="1:10" ht="15.75">
      <c r="A11" s="93"/>
      <c r="B11" s="238" t="s">
        <v>148</v>
      </c>
      <c r="C11" s="238"/>
      <c r="D11" s="238"/>
      <c r="E11" s="238"/>
      <c r="F11" s="238"/>
      <c r="G11" s="15"/>
      <c r="H11" s="16">
        <v>20257.42</v>
      </c>
      <c r="I11" s="76"/>
      <c r="J11" s="95">
        <f>H11+I11</f>
        <v>20257.42</v>
      </c>
    </row>
    <row r="12" spans="1:10" ht="15.75">
      <c r="A12" s="23"/>
      <c r="B12" s="238" t="s">
        <v>149</v>
      </c>
      <c r="C12" s="238"/>
      <c r="D12" s="238"/>
      <c r="E12" s="238"/>
      <c r="F12" s="238"/>
      <c r="G12" s="15"/>
      <c r="H12" s="94"/>
      <c r="I12" s="76">
        <v>0</v>
      </c>
      <c r="J12" s="95">
        <f>H12+I12</f>
        <v>0</v>
      </c>
    </row>
    <row r="13" spans="1:10" ht="15.75">
      <c r="A13" s="23"/>
      <c r="B13" s="238" t="s">
        <v>250</v>
      </c>
      <c r="C13" s="238"/>
      <c r="D13" s="238"/>
      <c r="E13" s="238"/>
      <c r="F13" s="238"/>
      <c r="G13" s="15"/>
      <c r="H13" s="94">
        <v>0</v>
      </c>
      <c r="I13" s="96">
        <v>0</v>
      </c>
      <c r="J13" s="95">
        <f>H13+I13</f>
        <v>0</v>
      </c>
    </row>
    <row r="14" spans="1:10" ht="15.75">
      <c r="A14" s="23"/>
      <c r="B14" s="222" t="s">
        <v>151</v>
      </c>
      <c r="C14" s="222"/>
      <c r="D14" s="222"/>
      <c r="E14" s="222"/>
      <c r="F14" s="222"/>
      <c r="G14" s="15"/>
      <c r="H14" s="97">
        <f>SUM(H10:H12)</f>
        <v>492473.77999999997</v>
      </c>
      <c r="I14" s="98">
        <f>SUM(I10:I12)</f>
        <v>0</v>
      </c>
      <c r="J14" s="97">
        <f>SUM(J10:J13)</f>
        <v>492473.77999999997</v>
      </c>
    </row>
    <row r="15" spans="1:10" ht="18.75">
      <c r="A15" s="23">
        <v>2</v>
      </c>
      <c r="B15" s="280" t="s">
        <v>65</v>
      </c>
      <c r="C15" s="280"/>
      <c r="D15" s="280"/>
      <c r="E15" s="280"/>
      <c r="F15" s="280"/>
      <c r="G15" s="15"/>
      <c r="H15" s="94"/>
      <c r="I15" s="76"/>
      <c r="J15" s="35"/>
    </row>
    <row r="16" spans="1:10" ht="15.75">
      <c r="A16" s="23" t="s">
        <v>152</v>
      </c>
      <c r="B16" s="69" t="s">
        <v>66</v>
      </c>
      <c r="C16" s="69"/>
      <c r="D16" s="69"/>
      <c r="E16" s="69"/>
      <c r="F16" s="113"/>
      <c r="G16" s="182"/>
      <c r="H16" s="182"/>
      <c r="I16" s="89"/>
      <c r="J16" s="92"/>
    </row>
    <row r="17" spans="1:10" ht="33" customHeight="1">
      <c r="A17" s="26"/>
      <c r="B17" s="239" t="s">
        <v>211</v>
      </c>
      <c r="C17" s="239"/>
      <c r="D17" s="239"/>
      <c r="E17" s="99" t="s">
        <v>32</v>
      </c>
      <c r="F17" s="81" t="s">
        <v>24</v>
      </c>
      <c r="G17" s="82">
        <v>1.29</v>
      </c>
      <c r="H17" s="100">
        <f>ROUND($E$3*G17*$K$7,2)</f>
        <v>38658.2</v>
      </c>
      <c r="I17" s="101"/>
      <c r="J17" s="102">
        <f>SUM(H17:I17)</f>
        <v>38658.2</v>
      </c>
    </row>
    <row r="18" spans="1:10" ht="17.25" customHeight="1">
      <c r="A18" s="23"/>
      <c r="B18" s="236" t="s">
        <v>17</v>
      </c>
      <c r="C18" s="236"/>
      <c r="D18" s="236"/>
      <c r="E18" s="99" t="s">
        <v>32</v>
      </c>
      <c r="F18" s="81" t="s">
        <v>19</v>
      </c>
      <c r="G18" s="82">
        <v>0.3</v>
      </c>
      <c r="H18" s="100">
        <f>ROUND($E$3*G18*$K$7,2)</f>
        <v>8990.28</v>
      </c>
      <c r="I18" s="101"/>
      <c r="J18" s="102">
        <f>SUM(H18:I18)</f>
        <v>8990.28</v>
      </c>
    </row>
    <row r="19" spans="1:10" ht="20.25" customHeight="1">
      <c r="A19" s="23"/>
      <c r="B19" s="235" t="s">
        <v>23</v>
      </c>
      <c r="C19" s="235"/>
      <c r="D19" s="235"/>
      <c r="E19" s="103" t="s">
        <v>153</v>
      </c>
      <c r="F19" s="84" t="s">
        <v>20</v>
      </c>
      <c r="G19" s="82">
        <v>1.05</v>
      </c>
      <c r="H19" s="100">
        <f>J19-I19</f>
        <v>1239.2</v>
      </c>
      <c r="I19" s="101"/>
      <c r="J19" s="104">
        <v>1239.2</v>
      </c>
    </row>
    <row r="20" spans="1:10" ht="20.25" customHeight="1">
      <c r="A20" s="26"/>
      <c r="B20" s="239" t="s">
        <v>31</v>
      </c>
      <c r="C20" s="239"/>
      <c r="D20" s="239"/>
      <c r="E20" s="105" t="s">
        <v>9</v>
      </c>
      <c r="F20" s="85" t="s">
        <v>10</v>
      </c>
      <c r="G20" s="82">
        <v>0.54</v>
      </c>
      <c r="H20" s="100">
        <f>ROUND($E$3*G20*$K$7,2)</f>
        <v>16182.5</v>
      </c>
      <c r="I20" s="101"/>
      <c r="J20" s="102">
        <f>SUM(H20:I20)</f>
        <v>16182.5</v>
      </c>
    </row>
    <row r="21" spans="1:10" ht="53.25" customHeight="1">
      <c r="A21" s="23"/>
      <c r="B21" s="235" t="s">
        <v>27</v>
      </c>
      <c r="C21" s="235"/>
      <c r="D21" s="235"/>
      <c r="E21" s="103" t="s">
        <v>154</v>
      </c>
      <c r="F21" s="84" t="s">
        <v>25</v>
      </c>
      <c r="G21" s="82">
        <v>0.13</v>
      </c>
      <c r="H21" s="100">
        <f>J21-I21</f>
        <v>675</v>
      </c>
      <c r="I21" s="101"/>
      <c r="J21" s="104">
        <v>675</v>
      </c>
    </row>
    <row r="22" spans="1:10" ht="20.25" customHeight="1">
      <c r="A22" s="26"/>
      <c r="B22" s="235" t="s">
        <v>11</v>
      </c>
      <c r="C22" s="235"/>
      <c r="D22" s="235"/>
      <c r="E22" s="103" t="s">
        <v>9</v>
      </c>
      <c r="F22" s="84" t="s">
        <v>12</v>
      </c>
      <c r="G22" s="82">
        <v>2.35</v>
      </c>
      <c r="H22" s="100">
        <f>ROUND($E$3*G22*$K$7,2)</f>
        <v>70423.86</v>
      </c>
      <c r="I22" s="101"/>
      <c r="J22" s="104">
        <f>H22</f>
        <v>70423.86</v>
      </c>
    </row>
    <row r="23" spans="1:10" ht="20.25" customHeight="1">
      <c r="A23" s="26"/>
      <c r="B23" s="235" t="s">
        <v>26</v>
      </c>
      <c r="C23" s="168"/>
      <c r="D23" s="168"/>
      <c r="E23" s="106" t="s">
        <v>13</v>
      </c>
      <c r="F23" s="78" t="s">
        <v>14</v>
      </c>
      <c r="G23" s="82">
        <v>0.05</v>
      </c>
      <c r="H23" s="100">
        <f>J23-I23</f>
        <v>1398.6</v>
      </c>
      <c r="I23" s="101"/>
      <c r="J23" s="104">
        <v>1398.6</v>
      </c>
    </row>
    <row r="24" spans="1:10" ht="51.75" customHeight="1">
      <c r="A24" s="23"/>
      <c r="B24" s="235" t="s">
        <v>71</v>
      </c>
      <c r="C24" s="235"/>
      <c r="D24" s="235"/>
      <c r="E24" s="99" t="s">
        <v>213</v>
      </c>
      <c r="F24" s="46" t="s">
        <v>82</v>
      </c>
      <c r="G24" s="82">
        <v>1.63</v>
      </c>
      <c r="H24" s="100">
        <f aca="true" t="shared" si="0" ref="H24:H29">ROUND($E$3*G24*$K$7,2)</f>
        <v>48847.19</v>
      </c>
      <c r="I24" s="101"/>
      <c r="J24" s="102">
        <f aca="true" t="shared" si="1" ref="J24:J29">SUM(H24:I24)</f>
        <v>48847.19</v>
      </c>
    </row>
    <row r="25" spans="1:10" ht="53.25" customHeight="1">
      <c r="A25" s="23"/>
      <c r="B25" s="236" t="s">
        <v>15</v>
      </c>
      <c r="C25" s="236"/>
      <c r="D25" s="236"/>
      <c r="E25" s="99" t="s">
        <v>137</v>
      </c>
      <c r="F25" s="46" t="s">
        <v>82</v>
      </c>
      <c r="G25" s="82">
        <v>0.56</v>
      </c>
      <c r="H25" s="100">
        <f>J25-I25</f>
        <v>16849.52</v>
      </c>
      <c r="I25" s="101"/>
      <c r="J25" s="102">
        <v>16849.52</v>
      </c>
    </row>
    <row r="26" spans="1:10" ht="30" customHeight="1">
      <c r="A26" s="23"/>
      <c r="B26" s="237" t="s">
        <v>36</v>
      </c>
      <c r="C26" s="233"/>
      <c r="D26" s="234"/>
      <c r="E26" s="99" t="s">
        <v>35</v>
      </c>
      <c r="F26" s="46" t="s">
        <v>82</v>
      </c>
      <c r="G26" s="82">
        <f>4.38-G27-G28</f>
        <v>4.07</v>
      </c>
      <c r="H26" s="100">
        <f t="shared" si="0"/>
        <v>121968.13</v>
      </c>
      <c r="I26" s="108"/>
      <c r="J26" s="102">
        <f t="shared" si="1"/>
        <v>121968.13</v>
      </c>
    </row>
    <row r="27" spans="1:10" ht="26.25" customHeight="1">
      <c r="A27" s="26"/>
      <c r="B27" s="235" t="s">
        <v>155</v>
      </c>
      <c r="C27" s="235"/>
      <c r="D27" s="235"/>
      <c r="E27" s="103" t="s">
        <v>9</v>
      </c>
      <c r="F27" s="46" t="s">
        <v>82</v>
      </c>
      <c r="G27" s="82">
        <v>0.31</v>
      </c>
      <c r="H27" s="100">
        <f t="shared" si="0"/>
        <v>9289.96</v>
      </c>
      <c r="I27" s="108"/>
      <c r="J27" s="102">
        <f t="shared" si="1"/>
        <v>9289.96</v>
      </c>
    </row>
    <row r="28" spans="1:10" ht="17.25" customHeight="1">
      <c r="A28" s="23"/>
      <c r="B28" s="235" t="s">
        <v>156</v>
      </c>
      <c r="C28" s="235"/>
      <c r="D28" s="235"/>
      <c r="E28" s="103" t="s">
        <v>9</v>
      </c>
      <c r="F28" s="46" t="s">
        <v>82</v>
      </c>
      <c r="G28" s="82">
        <v>0</v>
      </c>
      <c r="H28" s="100">
        <f t="shared" si="0"/>
        <v>0</v>
      </c>
      <c r="I28" s="108"/>
      <c r="J28" s="102">
        <f t="shared" si="1"/>
        <v>0</v>
      </c>
    </row>
    <row r="29" spans="1:10" ht="29.25" customHeight="1">
      <c r="A29" s="23"/>
      <c r="B29" s="168" t="s">
        <v>21</v>
      </c>
      <c r="C29" s="168"/>
      <c r="D29" s="168"/>
      <c r="E29" s="99" t="s">
        <v>35</v>
      </c>
      <c r="F29" s="46" t="s">
        <v>82</v>
      </c>
      <c r="G29" s="82">
        <v>1.54</v>
      </c>
      <c r="H29" s="100">
        <f t="shared" si="0"/>
        <v>46150.1</v>
      </c>
      <c r="I29" s="101"/>
      <c r="J29" s="102">
        <f t="shared" si="1"/>
        <v>46150.1</v>
      </c>
    </row>
    <row r="30" spans="1:10" ht="15.75">
      <c r="A30" s="23"/>
      <c r="B30" s="232"/>
      <c r="C30" s="233"/>
      <c r="D30" s="234"/>
      <c r="E30" s="145"/>
      <c r="F30" s="46"/>
      <c r="G30" s="78"/>
      <c r="H30" s="107"/>
      <c r="I30" s="96"/>
      <c r="J30" s="109"/>
    </row>
    <row r="31" spans="1:10" ht="15.75">
      <c r="A31" s="23"/>
      <c r="B31" s="279" t="s">
        <v>30</v>
      </c>
      <c r="C31" s="279"/>
      <c r="D31" s="279"/>
      <c r="E31" s="23"/>
      <c r="F31" s="46"/>
      <c r="G31" s="24">
        <f>SUM(G17:G29)</f>
        <v>13.82</v>
      </c>
      <c r="H31" s="117">
        <f>SUM(H17:H30)</f>
        <v>380672.54</v>
      </c>
      <c r="I31" s="98"/>
      <c r="J31" s="117">
        <f>SUM(J17:J30)</f>
        <v>380672.54</v>
      </c>
    </row>
    <row r="32" spans="1:10" ht="15.75" hidden="1">
      <c r="A32" s="23"/>
      <c r="B32" s="229" t="s">
        <v>157</v>
      </c>
      <c r="C32" s="230"/>
      <c r="D32" s="231"/>
      <c r="E32" s="145" t="s">
        <v>9</v>
      </c>
      <c r="F32" s="46"/>
      <c r="G32" s="78"/>
      <c r="H32" s="107"/>
      <c r="I32" s="96"/>
      <c r="J32" s="109"/>
    </row>
    <row r="33" spans="1:10" ht="25.5" hidden="1">
      <c r="A33" s="23"/>
      <c r="B33" s="229" t="s">
        <v>158</v>
      </c>
      <c r="C33" s="230"/>
      <c r="D33" s="231"/>
      <c r="E33" s="143" t="s">
        <v>35</v>
      </c>
      <c r="F33" s="46"/>
      <c r="G33" s="78"/>
      <c r="H33" s="107"/>
      <c r="I33" s="96"/>
      <c r="J33" s="109"/>
    </row>
    <row r="34" spans="1:10" ht="15.75" hidden="1">
      <c r="A34" s="23"/>
      <c r="B34" s="232"/>
      <c r="C34" s="233"/>
      <c r="D34" s="234"/>
      <c r="E34" s="145"/>
      <c r="F34" s="46"/>
      <c r="G34" s="78"/>
      <c r="H34" s="107"/>
      <c r="I34" s="96"/>
      <c r="J34" s="109"/>
    </row>
    <row r="35" spans="1:10" ht="15" customHeight="1">
      <c r="A35" s="23" t="s">
        <v>159</v>
      </c>
      <c r="B35" s="165" t="s">
        <v>160</v>
      </c>
      <c r="C35" s="166"/>
      <c r="D35" s="166"/>
      <c r="E35" s="167"/>
      <c r="F35" s="46" t="s">
        <v>82</v>
      </c>
      <c r="G35" s="24">
        <f>H35/E3/$K$7</f>
        <v>22.762416743416225</v>
      </c>
      <c r="H35" s="183">
        <v>682135</v>
      </c>
      <c r="I35" s="111"/>
      <c r="J35" s="97">
        <f>SUM(H35:I35)</f>
        <v>682135</v>
      </c>
    </row>
    <row r="36" spans="1:10" ht="14.25" customHeight="1">
      <c r="A36" s="25"/>
      <c r="B36" s="178" t="s">
        <v>69</v>
      </c>
      <c r="C36" s="178"/>
      <c r="D36" s="178"/>
      <c r="E36" s="178"/>
      <c r="F36" s="178"/>
      <c r="G36" s="24">
        <f>SUM(G31:G35)</f>
        <v>36.582416743416225</v>
      </c>
      <c r="H36" s="184">
        <f>SUM(H31:H35)</f>
        <v>1062807.54</v>
      </c>
      <c r="I36" s="185"/>
      <c r="J36" s="184">
        <f>SUM(J31:J35)</f>
        <v>1062807.54</v>
      </c>
    </row>
    <row r="37" spans="1:10" ht="15.75">
      <c r="A37" s="23" t="s">
        <v>161</v>
      </c>
      <c r="B37" s="178" t="s">
        <v>162</v>
      </c>
      <c r="C37" s="178"/>
      <c r="D37" s="178"/>
      <c r="E37" s="178"/>
      <c r="F37" s="178"/>
      <c r="G37" s="24">
        <f>H37/E3/$K$7</f>
        <v>0</v>
      </c>
      <c r="H37" s="114">
        <v>0</v>
      </c>
      <c r="I37" s="114"/>
      <c r="J37" s="115">
        <f>SUM(H37:I37)</f>
        <v>0</v>
      </c>
    </row>
    <row r="38" spans="1:10" ht="24.75" customHeight="1">
      <c r="A38" s="25"/>
      <c r="B38" s="178" t="s">
        <v>163</v>
      </c>
      <c r="C38" s="178"/>
      <c r="D38" s="178"/>
      <c r="E38" s="178"/>
      <c r="F38" s="178"/>
      <c r="G38" s="24">
        <f>SUM(G36:G37)</f>
        <v>36.582416743416225</v>
      </c>
      <c r="H38" s="184">
        <f>SUM(H36:H37)</f>
        <v>1062807.54</v>
      </c>
      <c r="I38" s="185"/>
      <c r="J38" s="184">
        <f>SUM(J36:J37)</f>
        <v>1062807.54</v>
      </c>
    </row>
    <row r="39" spans="1:10" ht="27" customHeight="1">
      <c r="A39" s="23">
        <v>3</v>
      </c>
      <c r="B39" s="170" t="s">
        <v>251</v>
      </c>
      <c r="C39" s="171"/>
      <c r="D39" s="171"/>
      <c r="E39" s="171"/>
      <c r="F39" s="171"/>
      <c r="G39" s="157"/>
      <c r="H39" s="100">
        <f>H14-H38</f>
        <v>-570333.76</v>
      </c>
      <c r="I39" s="100"/>
      <c r="J39" s="98">
        <f>J14-J38</f>
        <v>-570333.76</v>
      </c>
    </row>
    <row r="40" spans="2:6" ht="15.75">
      <c r="B40" s="34"/>
      <c r="F40" s="34"/>
    </row>
    <row r="41" spans="2:9" ht="36" customHeight="1">
      <c r="B41" s="278" t="s">
        <v>252</v>
      </c>
      <c r="C41" s="278"/>
      <c r="D41" s="278"/>
      <c r="E41" s="278"/>
      <c r="F41" s="278"/>
      <c r="G41" s="278"/>
      <c r="H41" s="278"/>
      <c r="I41" s="278"/>
    </row>
    <row r="42" spans="2:4" ht="25.5" customHeight="1">
      <c r="B42" s="34"/>
      <c r="C42" s="34"/>
      <c r="D42" s="34"/>
    </row>
    <row r="43" spans="2:4" ht="15.75">
      <c r="B43" s="118" t="s">
        <v>79</v>
      </c>
      <c r="C43" s="118"/>
      <c r="D43" s="118"/>
    </row>
    <row r="44" spans="2:4" ht="15.75">
      <c r="B44" s="47" t="s">
        <v>253</v>
      </c>
      <c r="C44" s="47"/>
      <c r="D44" s="118"/>
    </row>
    <row r="45" spans="2:4" ht="15.75" customHeight="1">
      <c r="B45" s="212" t="s">
        <v>254</v>
      </c>
      <c r="C45" s="212"/>
      <c r="D45" s="212"/>
    </row>
    <row r="47" ht="15.75">
      <c r="B47" t="s">
        <v>255</v>
      </c>
    </row>
    <row r="48" ht="15.75">
      <c r="J48" s="86"/>
    </row>
    <row r="49" ht="15.75">
      <c r="J49" s="86"/>
    </row>
    <row r="50" ht="15.75">
      <c r="J50" s="86"/>
    </row>
    <row r="51" ht="15.75">
      <c r="J51" s="86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29:D29"/>
    <mergeCell ref="B30:D30"/>
    <mergeCell ref="B31:D31"/>
    <mergeCell ref="B32:D32"/>
    <mergeCell ref="B45:D45"/>
    <mergeCell ref="B35:E35"/>
    <mergeCell ref="B36:F36"/>
    <mergeCell ref="B41:I41"/>
    <mergeCell ref="B37:F37"/>
    <mergeCell ref="B38:F38"/>
    <mergeCell ref="B39:F3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2013-03-01T09:08:05Z</cp:lastPrinted>
  <dcterms:created xsi:type="dcterms:W3CDTF">2009-08-26T03:25:10Z</dcterms:created>
  <dcterms:modified xsi:type="dcterms:W3CDTF">2013-05-08T05:07:30Z</dcterms:modified>
  <cp:category/>
  <cp:version/>
  <cp:contentType/>
  <cp:contentStatus/>
</cp:coreProperties>
</file>